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hd.alfarsi\Desktop\Systems Documents\opendata\"/>
    </mc:Choice>
  </mc:AlternateContent>
  <bookViews>
    <workbookView xWindow="0" yWindow="0" windowWidth="19200" windowHeight="6950"/>
  </bookViews>
  <sheets>
    <sheet name="البيانات الوصفية " sheetId="3" r:id="rId1"/>
    <sheet name="المتغيرات" sheetId="4" r:id="rId2"/>
    <sheet name="Insurance Financials Search Rep" sheetId="2" r:id="rId3"/>
  </sheets>
  <calcPr calcId="162913"/>
</workbook>
</file>

<file path=xl/calcChain.xml><?xml version="1.0" encoding="utf-8"?>
<calcChain xmlns="http://schemas.openxmlformats.org/spreadsheetml/2006/main">
  <c r="I200" i="2" l="1"/>
  <c r="H200" i="2"/>
  <c r="G200" i="2"/>
  <c r="F200" i="2"/>
  <c r="E200" i="2"/>
  <c r="D200" i="2"/>
  <c r="C200" i="2"/>
  <c r="B200" i="2"/>
  <c r="I199" i="2"/>
  <c r="H199" i="2"/>
  <c r="G199" i="2"/>
  <c r="F199" i="2"/>
  <c r="E199" i="2"/>
  <c r="D199" i="2"/>
  <c r="C199" i="2"/>
  <c r="B199" i="2"/>
  <c r="I198" i="2"/>
  <c r="H198" i="2"/>
  <c r="G198" i="2"/>
  <c r="F198" i="2"/>
  <c r="E198" i="2"/>
  <c r="D198" i="2"/>
  <c r="C198" i="2"/>
  <c r="B198" i="2"/>
  <c r="I197" i="2"/>
  <c r="H197" i="2"/>
  <c r="G197" i="2"/>
  <c r="F197" i="2"/>
  <c r="E197" i="2"/>
  <c r="D197" i="2"/>
  <c r="C197" i="2"/>
  <c r="B197" i="2"/>
  <c r="I196" i="2"/>
  <c r="H196" i="2"/>
  <c r="G196" i="2"/>
  <c r="F196" i="2"/>
  <c r="E196" i="2"/>
  <c r="D196" i="2"/>
  <c r="C196" i="2"/>
  <c r="B196" i="2"/>
  <c r="I195" i="2"/>
  <c r="H195" i="2"/>
  <c r="G195" i="2"/>
  <c r="F195" i="2"/>
  <c r="E195" i="2"/>
  <c r="D195" i="2"/>
  <c r="C195" i="2"/>
  <c r="B195" i="2"/>
  <c r="I194" i="2"/>
  <c r="H194" i="2"/>
  <c r="G194" i="2"/>
  <c r="F194" i="2"/>
  <c r="E194" i="2"/>
  <c r="D194" i="2"/>
  <c r="C194" i="2"/>
  <c r="B194" i="2"/>
  <c r="I193" i="2"/>
  <c r="H193" i="2"/>
  <c r="G193" i="2"/>
  <c r="F193" i="2"/>
  <c r="E193" i="2"/>
  <c r="D193" i="2"/>
  <c r="C193" i="2"/>
  <c r="B193" i="2"/>
  <c r="I192" i="2"/>
  <c r="H192" i="2"/>
  <c r="G192" i="2"/>
  <c r="F192" i="2"/>
  <c r="E192" i="2"/>
  <c r="D192" i="2"/>
  <c r="C192" i="2"/>
  <c r="B192" i="2"/>
  <c r="I191" i="2"/>
  <c r="H191" i="2"/>
  <c r="G191" i="2"/>
  <c r="F191" i="2"/>
  <c r="E191" i="2"/>
  <c r="D191" i="2"/>
  <c r="C191" i="2"/>
  <c r="B191" i="2"/>
  <c r="I190" i="2"/>
  <c r="H190" i="2"/>
  <c r="G190" i="2"/>
  <c r="F190" i="2"/>
  <c r="E190" i="2"/>
  <c r="D190" i="2"/>
  <c r="C190" i="2"/>
  <c r="B190" i="2"/>
  <c r="I189" i="2"/>
  <c r="H189" i="2"/>
  <c r="G189" i="2"/>
  <c r="F189" i="2"/>
  <c r="E189" i="2"/>
  <c r="D189" i="2"/>
  <c r="C189" i="2"/>
  <c r="B189" i="2"/>
  <c r="I188" i="2"/>
  <c r="H188" i="2"/>
  <c r="G188" i="2"/>
  <c r="F188" i="2"/>
  <c r="E188" i="2"/>
  <c r="D188" i="2"/>
  <c r="C188" i="2"/>
  <c r="B188" i="2"/>
  <c r="I187" i="2"/>
  <c r="H187" i="2"/>
  <c r="G187" i="2"/>
  <c r="F187" i="2"/>
  <c r="E187" i="2"/>
  <c r="D187" i="2"/>
  <c r="C187" i="2"/>
  <c r="B187" i="2"/>
  <c r="I186" i="2"/>
  <c r="H186" i="2"/>
  <c r="G186" i="2"/>
  <c r="F186" i="2"/>
  <c r="E186" i="2"/>
  <c r="D186" i="2"/>
  <c r="C186" i="2"/>
  <c r="B186" i="2"/>
  <c r="I185" i="2"/>
  <c r="H185" i="2"/>
  <c r="G185" i="2"/>
  <c r="F185" i="2"/>
  <c r="E185" i="2"/>
  <c r="D185" i="2"/>
  <c r="C185" i="2"/>
  <c r="B185" i="2"/>
  <c r="I184" i="2"/>
  <c r="H184" i="2"/>
  <c r="G184" i="2"/>
  <c r="F184" i="2"/>
  <c r="E184" i="2"/>
  <c r="D184" i="2"/>
  <c r="C184" i="2"/>
  <c r="B184" i="2"/>
  <c r="I180" i="2"/>
  <c r="H180" i="2"/>
  <c r="G180" i="2"/>
  <c r="F180" i="2"/>
  <c r="E180" i="2"/>
  <c r="D180" i="2"/>
  <c r="C180" i="2"/>
  <c r="B180" i="2"/>
  <c r="I179" i="2"/>
  <c r="H179" i="2"/>
  <c r="G179" i="2"/>
  <c r="F179" i="2"/>
  <c r="E179" i="2"/>
  <c r="D179" i="2"/>
  <c r="C179" i="2"/>
  <c r="B179" i="2"/>
  <c r="I178" i="2"/>
  <c r="H178" i="2"/>
  <c r="G178" i="2"/>
  <c r="F178" i="2"/>
  <c r="E178" i="2"/>
  <c r="D178" i="2"/>
  <c r="C178" i="2"/>
  <c r="B178" i="2"/>
  <c r="I177" i="2"/>
  <c r="H177" i="2"/>
  <c r="G177" i="2"/>
  <c r="F177" i="2"/>
  <c r="E177" i="2"/>
  <c r="D177" i="2"/>
  <c r="C177" i="2"/>
  <c r="B177" i="2"/>
  <c r="I176" i="2"/>
  <c r="H176" i="2"/>
  <c r="G176" i="2"/>
  <c r="F176" i="2"/>
  <c r="E176" i="2"/>
  <c r="D176" i="2"/>
  <c r="C176" i="2"/>
  <c r="B176" i="2"/>
  <c r="I175" i="2"/>
  <c r="H175" i="2"/>
  <c r="G175" i="2"/>
  <c r="F175" i="2"/>
  <c r="E175" i="2"/>
  <c r="D175" i="2"/>
  <c r="C175" i="2"/>
  <c r="B175" i="2"/>
  <c r="I174" i="2"/>
  <c r="H174" i="2"/>
  <c r="G174" i="2"/>
  <c r="F174" i="2"/>
  <c r="E174" i="2"/>
  <c r="D174" i="2"/>
  <c r="C174" i="2"/>
  <c r="B174" i="2"/>
  <c r="I173" i="2"/>
  <c r="H173" i="2"/>
  <c r="G173" i="2"/>
  <c r="F173" i="2"/>
  <c r="E173" i="2"/>
  <c r="D173" i="2"/>
  <c r="C173" i="2"/>
  <c r="B173" i="2"/>
  <c r="I172" i="2"/>
  <c r="H172" i="2"/>
  <c r="G172" i="2"/>
  <c r="F172" i="2"/>
  <c r="E172" i="2"/>
  <c r="D172" i="2"/>
  <c r="C172" i="2"/>
  <c r="B172" i="2"/>
  <c r="I171" i="2"/>
  <c r="H171" i="2"/>
  <c r="G171" i="2"/>
  <c r="F171" i="2"/>
  <c r="E171" i="2"/>
  <c r="D171" i="2"/>
  <c r="C171" i="2"/>
  <c r="B171" i="2"/>
  <c r="I170" i="2"/>
  <c r="H170" i="2"/>
  <c r="G170" i="2"/>
  <c r="F170" i="2"/>
  <c r="E170" i="2"/>
  <c r="D170" i="2"/>
  <c r="C170" i="2"/>
  <c r="B170" i="2"/>
  <c r="I169" i="2"/>
  <c r="H169" i="2"/>
  <c r="G169" i="2"/>
  <c r="F169" i="2"/>
  <c r="E169" i="2"/>
  <c r="D169" i="2"/>
  <c r="C169" i="2"/>
  <c r="B169" i="2"/>
  <c r="I168" i="2"/>
  <c r="H168" i="2"/>
  <c r="G168" i="2"/>
  <c r="F168" i="2"/>
  <c r="E168" i="2"/>
  <c r="D168" i="2"/>
  <c r="C168" i="2"/>
  <c r="B168" i="2"/>
  <c r="I167" i="2"/>
  <c r="H167" i="2"/>
  <c r="G167" i="2"/>
  <c r="F167" i="2"/>
  <c r="E167" i="2"/>
  <c r="D167" i="2"/>
  <c r="C167" i="2"/>
  <c r="B167" i="2"/>
  <c r="I166" i="2"/>
  <c r="H166" i="2"/>
  <c r="G166" i="2"/>
  <c r="F166" i="2"/>
  <c r="E166" i="2"/>
  <c r="D166" i="2"/>
  <c r="C166" i="2"/>
  <c r="B166" i="2"/>
  <c r="I165" i="2"/>
  <c r="H165" i="2"/>
  <c r="G165" i="2"/>
  <c r="F165" i="2"/>
  <c r="E165" i="2"/>
  <c r="D165" i="2"/>
  <c r="C165" i="2"/>
  <c r="B165" i="2"/>
  <c r="I164" i="2"/>
  <c r="H164" i="2"/>
  <c r="G164" i="2"/>
  <c r="F164" i="2"/>
  <c r="E164" i="2"/>
  <c r="D164" i="2"/>
  <c r="C164" i="2"/>
  <c r="B164" i="2"/>
  <c r="I160" i="2"/>
  <c r="H160" i="2"/>
  <c r="G160" i="2"/>
  <c r="F160" i="2"/>
  <c r="E160" i="2"/>
  <c r="D160" i="2"/>
  <c r="C160" i="2"/>
  <c r="B160" i="2"/>
  <c r="I159" i="2"/>
  <c r="H159" i="2"/>
  <c r="G159" i="2"/>
  <c r="F159" i="2"/>
  <c r="E159" i="2"/>
  <c r="D159" i="2"/>
  <c r="C159" i="2"/>
  <c r="B159" i="2"/>
  <c r="I158" i="2"/>
  <c r="H158" i="2"/>
  <c r="G158" i="2"/>
  <c r="F158" i="2"/>
  <c r="E158" i="2"/>
  <c r="D158" i="2"/>
  <c r="C158" i="2"/>
  <c r="B158" i="2"/>
  <c r="I157" i="2"/>
  <c r="H157" i="2"/>
  <c r="G157" i="2"/>
  <c r="F157" i="2"/>
  <c r="E157" i="2"/>
  <c r="D157" i="2"/>
  <c r="C157" i="2"/>
  <c r="B157" i="2"/>
  <c r="I156" i="2"/>
  <c r="H156" i="2"/>
  <c r="G156" i="2"/>
  <c r="F156" i="2"/>
  <c r="E156" i="2"/>
  <c r="D156" i="2"/>
  <c r="C156" i="2"/>
  <c r="B156" i="2"/>
  <c r="I155" i="2"/>
  <c r="H155" i="2"/>
  <c r="G155" i="2"/>
  <c r="F155" i="2"/>
  <c r="E155" i="2"/>
  <c r="D155" i="2"/>
  <c r="C155" i="2"/>
  <c r="B155" i="2"/>
  <c r="I154" i="2"/>
  <c r="H154" i="2"/>
  <c r="G154" i="2"/>
  <c r="F154" i="2"/>
  <c r="E154" i="2"/>
  <c r="D154" i="2"/>
  <c r="C154" i="2"/>
  <c r="B154" i="2"/>
  <c r="I153" i="2"/>
  <c r="H153" i="2"/>
  <c r="G153" i="2"/>
  <c r="F153" i="2"/>
  <c r="E153" i="2"/>
  <c r="D153" i="2"/>
  <c r="C153" i="2"/>
  <c r="B153" i="2"/>
  <c r="I152" i="2"/>
  <c r="H152" i="2"/>
  <c r="G152" i="2"/>
  <c r="F152" i="2"/>
  <c r="E152" i="2"/>
  <c r="D152" i="2"/>
  <c r="C152" i="2"/>
  <c r="B152" i="2"/>
  <c r="I151" i="2"/>
  <c r="H151" i="2"/>
  <c r="G151" i="2"/>
  <c r="F151" i="2"/>
  <c r="E151" i="2"/>
  <c r="D151" i="2"/>
  <c r="C151" i="2"/>
  <c r="B151" i="2"/>
  <c r="I150" i="2"/>
  <c r="H150" i="2"/>
  <c r="G150" i="2"/>
  <c r="F150" i="2"/>
  <c r="E150" i="2"/>
  <c r="D150" i="2"/>
  <c r="C150" i="2"/>
  <c r="B150" i="2"/>
  <c r="I149" i="2"/>
  <c r="H149" i="2"/>
  <c r="G149" i="2"/>
  <c r="F149" i="2"/>
  <c r="E149" i="2"/>
  <c r="D149" i="2"/>
  <c r="C149" i="2"/>
  <c r="B149" i="2"/>
  <c r="I148" i="2"/>
  <c r="H148" i="2"/>
  <c r="G148" i="2"/>
  <c r="F148" i="2"/>
  <c r="E148" i="2"/>
  <c r="D148" i="2"/>
  <c r="C148" i="2"/>
  <c r="B148" i="2"/>
  <c r="I147" i="2"/>
  <c r="H147" i="2"/>
  <c r="G147" i="2"/>
  <c r="F147" i="2"/>
  <c r="E147" i="2"/>
  <c r="D147" i="2"/>
  <c r="C147" i="2"/>
  <c r="B147" i="2"/>
  <c r="I146" i="2"/>
  <c r="H146" i="2"/>
  <c r="G146" i="2"/>
  <c r="F146" i="2"/>
  <c r="E146" i="2"/>
  <c r="D146" i="2"/>
  <c r="C146" i="2"/>
  <c r="B146" i="2"/>
  <c r="I145" i="2"/>
  <c r="H145" i="2"/>
  <c r="G145" i="2"/>
  <c r="F145" i="2"/>
  <c r="E145" i="2"/>
  <c r="D145" i="2"/>
  <c r="C145" i="2"/>
  <c r="B145" i="2"/>
  <c r="I144" i="2"/>
  <c r="H144" i="2"/>
  <c r="G144" i="2"/>
  <c r="F144" i="2"/>
  <c r="E144" i="2"/>
  <c r="D144" i="2"/>
  <c r="C144" i="2"/>
  <c r="B144" i="2"/>
  <c r="I140" i="2"/>
  <c r="H140" i="2"/>
  <c r="G140" i="2"/>
  <c r="F140" i="2"/>
  <c r="E140" i="2"/>
  <c r="D140" i="2"/>
  <c r="C140" i="2"/>
  <c r="B140" i="2"/>
  <c r="I139" i="2"/>
  <c r="H139" i="2"/>
  <c r="G139" i="2"/>
  <c r="F139" i="2"/>
  <c r="E139" i="2"/>
  <c r="D139" i="2"/>
  <c r="C139" i="2"/>
  <c r="B139" i="2"/>
  <c r="I138" i="2"/>
  <c r="H138" i="2"/>
  <c r="G138" i="2"/>
  <c r="F138" i="2"/>
  <c r="E138" i="2"/>
  <c r="D138" i="2"/>
  <c r="C138" i="2"/>
  <c r="B138" i="2"/>
  <c r="I137" i="2"/>
  <c r="H137" i="2"/>
  <c r="G137" i="2"/>
  <c r="F137" i="2"/>
  <c r="E137" i="2"/>
  <c r="D137" i="2"/>
  <c r="C137" i="2"/>
  <c r="B137" i="2"/>
  <c r="I136" i="2"/>
  <c r="H136" i="2"/>
  <c r="G136" i="2"/>
  <c r="F136" i="2"/>
  <c r="E136" i="2"/>
  <c r="D136" i="2"/>
  <c r="C136" i="2"/>
  <c r="B136" i="2"/>
  <c r="I135" i="2"/>
  <c r="H135" i="2"/>
  <c r="G135" i="2"/>
  <c r="F135" i="2"/>
  <c r="E135" i="2"/>
  <c r="D135" i="2"/>
  <c r="C135" i="2"/>
  <c r="B135" i="2"/>
  <c r="I134" i="2"/>
  <c r="H134" i="2"/>
  <c r="G134" i="2"/>
  <c r="F134" i="2"/>
  <c r="E134" i="2"/>
  <c r="D134" i="2"/>
  <c r="C134" i="2"/>
  <c r="B134" i="2"/>
  <c r="I133" i="2"/>
  <c r="H133" i="2"/>
  <c r="G133" i="2"/>
  <c r="F133" i="2"/>
  <c r="E133" i="2"/>
  <c r="D133" i="2"/>
  <c r="C133" i="2"/>
  <c r="B133" i="2"/>
  <c r="I132" i="2"/>
  <c r="H132" i="2"/>
  <c r="G132" i="2"/>
  <c r="F132" i="2"/>
  <c r="E132" i="2"/>
  <c r="D132" i="2"/>
  <c r="C132" i="2"/>
  <c r="B132" i="2"/>
  <c r="I131" i="2"/>
  <c r="H131" i="2"/>
  <c r="G131" i="2"/>
  <c r="F131" i="2"/>
  <c r="E131" i="2"/>
  <c r="D131" i="2"/>
  <c r="C131" i="2"/>
  <c r="B131" i="2"/>
  <c r="I130" i="2"/>
  <c r="H130" i="2"/>
  <c r="G130" i="2"/>
  <c r="F130" i="2"/>
  <c r="E130" i="2"/>
  <c r="D130" i="2"/>
  <c r="C130" i="2"/>
  <c r="B130" i="2"/>
  <c r="I129" i="2"/>
  <c r="H129" i="2"/>
  <c r="G129" i="2"/>
  <c r="F129" i="2"/>
  <c r="E129" i="2"/>
  <c r="D129" i="2"/>
  <c r="C129" i="2"/>
  <c r="B129" i="2"/>
  <c r="I128" i="2"/>
  <c r="H128" i="2"/>
  <c r="G128" i="2"/>
  <c r="F128" i="2"/>
  <c r="E128" i="2"/>
  <c r="D128" i="2"/>
  <c r="C128" i="2"/>
  <c r="B128" i="2"/>
  <c r="I127" i="2"/>
  <c r="H127" i="2"/>
  <c r="G127" i="2"/>
  <c r="F127" i="2"/>
  <c r="E127" i="2"/>
  <c r="D127" i="2"/>
  <c r="C127" i="2"/>
  <c r="B127" i="2"/>
  <c r="I126" i="2"/>
  <c r="H126" i="2"/>
  <c r="G126" i="2"/>
  <c r="F126" i="2"/>
  <c r="E126" i="2"/>
  <c r="D126" i="2"/>
  <c r="C126" i="2"/>
  <c r="B126" i="2"/>
  <c r="I125" i="2"/>
  <c r="H125" i="2"/>
  <c r="G125" i="2"/>
  <c r="F125" i="2"/>
  <c r="E125" i="2"/>
  <c r="D125" i="2"/>
  <c r="C125" i="2"/>
  <c r="B125" i="2"/>
  <c r="I124" i="2"/>
  <c r="H124" i="2"/>
  <c r="G124" i="2"/>
  <c r="F124" i="2"/>
  <c r="E124" i="2"/>
  <c r="D124" i="2"/>
  <c r="C124" i="2"/>
  <c r="B124" i="2"/>
  <c r="I120" i="2"/>
  <c r="H120" i="2"/>
  <c r="G120" i="2"/>
  <c r="F120" i="2"/>
  <c r="E120" i="2"/>
  <c r="D120" i="2"/>
  <c r="C120" i="2"/>
  <c r="B120" i="2"/>
  <c r="I119" i="2"/>
  <c r="H119" i="2"/>
  <c r="G119" i="2"/>
  <c r="F119" i="2"/>
  <c r="E119" i="2"/>
  <c r="D119" i="2"/>
  <c r="C119" i="2"/>
  <c r="B119" i="2"/>
  <c r="I118" i="2"/>
  <c r="H118" i="2"/>
  <c r="G118" i="2"/>
  <c r="F118" i="2"/>
  <c r="E118" i="2"/>
  <c r="D118" i="2"/>
  <c r="C118" i="2"/>
  <c r="B118" i="2"/>
  <c r="I117" i="2"/>
  <c r="H117" i="2"/>
  <c r="G117" i="2"/>
  <c r="F117" i="2"/>
  <c r="E117" i="2"/>
  <c r="D117" i="2"/>
  <c r="C117" i="2"/>
  <c r="B117" i="2"/>
  <c r="I116" i="2"/>
  <c r="H116" i="2"/>
  <c r="G116" i="2"/>
  <c r="F116" i="2"/>
  <c r="E116" i="2"/>
  <c r="D116" i="2"/>
  <c r="C116" i="2"/>
  <c r="B116" i="2"/>
  <c r="I115" i="2"/>
  <c r="H115" i="2"/>
  <c r="G115" i="2"/>
  <c r="F115" i="2"/>
  <c r="E115" i="2"/>
  <c r="D115" i="2"/>
  <c r="C115" i="2"/>
  <c r="B115" i="2"/>
  <c r="I114" i="2"/>
  <c r="H114" i="2"/>
  <c r="G114" i="2"/>
  <c r="F114" i="2"/>
  <c r="E114" i="2"/>
  <c r="D114" i="2"/>
  <c r="C114" i="2"/>
  <c r="B114" i="2"/>
  <c r="I113" i="2"/>
  <c r="H113" i="2"/>
  <c r="G113" i="2"/>
  <c r="F113" i="2"/>
  <c r="E113" i="2"/>
  <c r="D113" i="2"/>
  <c r="C113" i="2"/>
  <c r="B113" i="2"/>
  <c r="I112" i="2"/>
  <c r="H112" i="2"/>
  <c r="G112" i="2"/>
  <c r="F112" i="2"/>
  <c r="E112" i="2"/>
  <c r="D112" i="2"/>
  <c r="C112" i="2"/>
  <c r="B112" i="2"/>
  <c r="I111" i="2"/>
  <c r="H111" i="2"/>
  <c r="G111" i="2"/>
  <c r="F111" i="2"/>
  <c r="E111" i="2"/>
  <c r="D111" i="2"/>
  <c r="C111" i="2"/>
  <c r="B111" i="2"/>
  <c r="I110" i="2"/>
  <c r="H110" i="2"/>
  <c r="G110" i="2"/>
  <c r="F110" i="2"/>
  <c r="E110" i="2"/>
  <c r="D110" i="2"/>
  <c r="C110" i="2"/>
  <c r="B110" i="2"/>
  <c r="I109" i="2"/>
  <c r="H109" i="2"/>
  <c r="G109" i="2"/>
  <c r="F109" i="2"/>
  <c r="E109" i="2"/>
  <c r="D109" i="2"/>
  <c r="C109" i="2"/>
  <c r="B109" i="2"/>
  <c r="I108" i="2"/>
  <c r="H108" i="2"/>
  <c r="G108" i="2"/>
  <c r="F108" i="2"/>
  <c r="E108" i="2"/>
  <c r="D108" i="2"/>
  <c r="C108" i="2"/>
  <c r="B108" i="2"/>
  <c r="I107" i="2"/>
  <c r="H107" i="2"/>
  <c r="G107" i="2"/>
  <c r="F107" i="2"/>
  <c r="E107" i="2"/>
  <c r="D107" i="2"/>
  <c r="C107" i="2"/>
  <c r="B107" i="2"/>
  <c r="I106" i="2"/>
  <c r="H106" i="2"/>
  <c r="G106" i="2"/>
  <c r="F106" i="2"/>
  <c r="E106" i="2"/>
  <c r="D106" i="2"/>
  <c r="C106" i="2"/>
  <c r="B106" i="2"/>
  <c r="I105" i="2"/>
  <c r="H105" i="2"/>
  <c r="G105" i="2"/>
  <c r="F105" i="2"/>
  <c r="E105" i="2"/>
  <c r="D105" i="2"/>
  <c r="C105" i="2"/>
  <c r="B105" i="2"/>
  <c r="I104" i="2"/>
  <c r="H104" i="2"/>
  <c r="G104" i="2"/>
  <c r="F104" i="2"/>
  <c r="E104" i="2"/>
  <c r="D104" i="2"/>
  <c r="C104" i="2"/>
  <c r="B104" i="2"/>
  <c r="I100" i="2"/>
  <c r="H100" i="2"/>
  <c r="G100" i="2"/>
  <c r="F100" i="2"/>
  <c r="E100" i="2"/>
  <c r="D100" i="2"/>
  <c r="C100" i="2"/>
  <c r="B100" i="2"/>
  <c r="I99" i="2"/>
  <c r="H99" i="2"/>
  <c r="G99" i="2"/>
  <c r="F99" i="2"/>
  <c r="E99" i="2"/>
  <c r="D99" i="2"/>
  <c r="C99" i="2"/>
  <c r="B99" i="2"/>
  <c r="I98" i="2"/>
  <c r="H98" i="2"/>
  <c r="G98" i="2"/>
  <c r="F98" i="2"/>
  <c r="E98" i="2"/>
  <c r="D98" i="2"/>
  <c r="C98" i="2"/>
  <c r="B98" i="2"/>
  <c r="I97" i="2"/>
  <c r="H97" i="2"/>
  <c r="G97" i="2"/>
  <c r="F97" i="2"/>
  <c r="E97" i="2"/>
  <c r="D97" i="2"/>
  <c r="C97" i="2"/>
  <c r="B97" i="2"/>
  <c r="I96" i="2"/>
  <c r="H96" i="2"/>
  <c r="G96" i="2"/>
  <c r="F96" i="2"/>
  <c r="E96" i="2"/>
  <c r="D96" i="2"/>
  <c r="C96" i="2"/>
  <c r="B96" i="2"/>
  <c r="I95" i="2"/>
  <c r="H95" i="2"/>
  <c r="G95" i="2"/>
  <c r="F95" i="2"/>
  <c r="E95" i="2"/>
  <c r="D95" i="2"/>
  <c r="C95" i="2"/>
  <c r="B95" i="2"/>
  <c r="I94" i="2"/>
  <c r="H94" i="2"/>
  <c r="G94" i="2"/>
  <c r="F94" i="2"/>
  <c r="E94" i="2"/>
  <c r="D94" i="2"/>
  <c r="C94" i="2"/>
  <c r="B94" i="2"/>
  <c r="I93" i="2"/>
  <c r="H93" i="2"/>
  <c r="G93" i="2"/>
  <c r="F93" i="2"/>
  <c r="E93" i="2"/>
  <c r="D93" i="2"/>
  <c r="C93" i="2"/>
  <c r="B93" i="2"/>
  <c r="I92" i="2"/>
  <c r="H92" i="2"/>
  <c r="G92" i="2"/>
  <c r="F92" i="2"/>
  <c r="E92" i="2"/>
  <c r="D92" i="2"/>
  <c r="C92" i="2"/>
  <c r="B92" i="2"/>
  <c r="I91" i="2"/>
  <c r="H91" i="2"/>
  <c r="G91" i="2"/>
  <c r="F91" i="2"/>
  <c r="E91" i="2"/>
  <c r="D91" i="2"/>
  <c r="C91" i="2"/>
  <c r="B91" i="2"/>
  <c r="I90" i="2"/>
  <c r="H90" i="2"/>
  <c r="G90" i="2"/>
  <c r="F90" i="2"/>
  <c r="E90" i="2"/>
  <c r="D90" i="2"/>
  <c r="C90" i="2"/>
  <c r="B90" i="2"/>
  <c r="I89" i="2"/>
  <c r="H89" i="2"/>
  <c r="G89" i="2"/>
  <c r="F89" i="2"/>
  <c r="E89" i="2"/>
  <c r="D89" i="2"/>
  <c r="C89" i="2"/>
  <c r="B89" i="2"/>
  <c r="I88" i="2"/>
  <c r="H88" i="2"/>
  <c r="G88" i="2"/>
  <c r="F88" i="2"/>
  <c r="E88" i="2"/>
  <c r="D88" i="2"/>
  <c r="C88" i="2"/>
  <c r="B88" i="2"/>
  <c r="I87" i="2"/>
  <c r="H87" i="2"/>
  <c r="G87" i="2"/>
  <c r="F87" i="2"/>
  <c r="E87" i="2"/>
  <c r="D87" i="2"/>
  <c r="C87" i="2"/>
  <c r="B87" i="2"/>
  <c r="I86" i="2"/>
  <c r="H86" i="2"/>
  <c r="G86" i="2"/>
  <c r="F86" i="2"/>
  <c r="E86" i="2"/>
  <c r="D86" i="2"/>
  <c r="C86" i="2"/>
  <c r="B86" i="2"/>
  <c r="I85" i="2"/>
  <c r="H85" i="2"/>
  <c r="G85" i="2"/>
  <c r="F85" i="2"/>
  <c r="E85" i="2"/>
  <c r="D85" i="2"/>
  <c r="C85" i="2"/>
  <c r="B85" i="2"/>
  <c r="I84" i="2"/>
  <c r="H84" i="2"/>
  <c r="G84" i="2"/>
  <c r="F84" i="2"/>
  <c r="E84" i="2"/>
  <c r="D84" i="2"/>
  <c r="C84" i="2"/>
  <c r="B84" i="2"/>
  <c r="I80" i="2"/>
  <c r="H80" i="2"/>
  <c r="G80" i="2"/>
  <c r="F80" i="2"/>
  <c r="E80" i="2"/>
  <c r="D80" i="2"/>
  <c r="C80" i="2"/>
  <c r="B80" i="2"/>
  <c r="I79" i="2"/>
  <c r="H79" i="2"/>
  <c r="G79" i="2"/>
  <c r="F79" i="2"/>
  <c r="E79" i="2"/>
  <c r="D79" i="2"/>
  <c r="C79" i="2"/>
  <c r="B79" i="2"/>
  <c r="I78" i="2"/>
  <c r="H78" i="2"/>
  <c r="G78" i="2"/>
  <c r="F78" i="2"/>
  <c r="E78" i="2"/>
  <c r="D78" i="2"/>
  <c r="C78" i="2"/>
  <c r="B78" i="2"/>
  <c r="I77" i="2"/>
  <c r="H77" i="2"/>
  <c r="G77" i="2"/>
  <c r="F77" i="2"/>
  <c r="E77" i="2"/>
  <c r="D77" i="2"/>
  <c r="C77" i="2"/>
  <c r="B77" i="2"/>
  <c r="I76" i="2"/>
  <c r="H76" i="2"/>
  <c r="G76" i="2"/>
  <c r="F76" i="2"/>
  <c r="E76" i="2"/>
  <c r="D76" i="2"/>
  <c r="C76" i="2"/>
  <c r="B76" i="2"/>
  <c r="I75" i="2"/>
  <c r="H75" i="2"/>
  <c r="G75" i="2"/>
  <c r="F75" i="2"/>
  <c r="E75" i="2"/>
  <c r="D75" i="2"/>
  <c r="C75" i="2"/>
  <c r="B75" i="2"/>
  <c r="I74" i="2"/>
  <c r="H74" i="2"/>
  <c r="G74" i="2"/>
  <c r="F74" i="2"/>
  <c r="E74" i="2"/>
  <c r="D74" i="2"/>
  <c r="C74" i="2"/>
  <c r="B74" i="2"/>
  <c r="I73" i="2"/>
  <c r="H73" i="2"/>
  <c r="G73" i="2"/>
  <c r="F73" i="2"/>
  <c r="E73" i="2"/>
  <c r="D73" i="2"/>
  <c r="C73" i="2"/>
  <c r="B73" i="2"/>
  <c r="I72" i="2"/>
  <c r="H72" i="2"/>
  <c r="G72" i="2"/>
  <c r="F72" i="2"/>
  <c r="E72" i="2"/>
  <c r="D72" i="2"/>
  <c r="C72" i="2"/>
  <c r="B72" i="2"/>
  <c r="I71" i="2"/>
  <c r="H71" i="2"/>
  <c r="G71" i="2"/>
  <c r="F71" i="2"/>
  <c r="E71" i="2"/>
  <c r="D71" i="2"/>
  <c r="C71" i="2"/>
  <c r="B71" i="2"/>
  <c r="I70" i="2"/>
  <c r="H70" i="2"/>
  <c r="G70" i="2"/>
  <c r="F70" i="2"/>
  <c r="E70" i="2"/>
  <c r="D70" i="2"/>
  <c r="C70" i="2"/>
  <c r="B70" i="2"/>
  <c r="I69" i="2"/>
  <c r="H69" i="2"/>
  <c r="G69" i="2"/>
  <c r="F69" i="2"/>
  <c r="E69" i="2"/>
  <c r="D69" i="2"/>
  <c r="C69" i="2"/>
  <c r="B69" i="2"/>
  <c r="I68" i="2"/>
  <c r="H68" i="2"/>
  <c r="G68" i="2"/>
  <c r="F68" i="2"/>
  <c r="E68" i="2"/>
  <c r="D68" i="2"/>
  <c r="C68" i="2"/>
  <c r="B68" i="2"/>
  <c r="I67" i="2"/>
  <c r="H67" i="2"/>
  <c r="G67" i="2"/>
  <c r="F67" i="2"/>
  <c r="E67" i="2"/>
  <c r="D67" i="2"/>
  <c r="C67" i="2"/>
  <c r="B67" i="2"/>
  <c r="I66" i="2"/>
  <c r="H66" i="2"/>
  <c r="G66" i="2"/>
  <c r="F66" i="2"/>
  <c r="E66" i="2"/>
  <c r="D66" i="2"/>
  <c r="C66" i="2"/>
  <c r="B66" i="2"/>
  <c r="I65" i="2"/>
  <c r="H65" i="2"/>
  <c r="G65" i="2"/>
  <c r="F65" i="2"/>
  <c r="E65" i="2"/>
  <c r="D65" i="2"/>
  <c r="C65" i="2"/>
  <c r="B65" i="2"/>
  <c r="I64" i="2"/>
  <c r="H64" i="2"/>
  <c r="G64" i="2"/>
  <c r="F64" i="2"/>
  <c r="E64" i="2"/>
  <c r="D64" i="2"/>
  <c r="C64" i="2"/>
  <c r="B64" i="2"/>
  <c r="I60" i="2"/>
  <c r="H60" i="2"/>
  <c r="G60" i="2"/>
  <c r="F60" i="2"/>
  <c r="E60" i="2"/>
  <c r="D60" i="2"/>
  <c r="C60" i="2"/>
  <c r="B60" i="2"/>
  <c r="I59" i="2"/>
  <c r="H59" i="2"/>
  <c r="G59" i="2"/>
  <c r="F59" i="2"/>
  <c r="E59" i="2"/>
  <c r="D59" i="2"/>
  <c r="C59" i="2"/>
  <c r="B59" i="2"/>
  <c r="I58" i="2"/>
  <c r="H58" i="2"/>
  <c r="G58" i="2"/>
  <c r="F58" i="2"/>
  <c r="E58" i="2"/>
  <c r="D58" i="2"/>
  <c r="C58" i="2"/>
  <c r="B58" i="2"/>
  <c r="I57" i="2"/>
  <c r="H57" i="2"/>
  <c r="G57" i="2"/>
  <c r="F57" i="2"/>
  <c r="E57" i="2"/>
  <c r="D57" i="2"/>
  <c r="C57" i="2"/>
  <c r="B57" i="2"/>
  <c r="I56" i="2"/>
  <c r="H56" i="2"/>
  <c r="G56" i="2"/>
  <c r="F56" i="2"/>
  <c r="E56" i="2"/>
  <c r="D56" i="2"/>
  <c r="C56" i="2"/>
  <c r="B56" i="2"/>
  <c r="I55" i="2"/>
  <c r="H55" i="2"/>
  <c r="G55" i="2"/>
  <c r="F55" i="2"/>
  <c r="E55" i="2"/>
  <c r="D55" i="2"/>
  <c r="C55" i="2"/>
  <c r="B55" i="2"/>
  <c r="I54" i="2"/>
  <c r="H54" i="2"/>
  <c r="G54" i="2"/>
  <c r="F54" i="2"/>
  <c r="E54" i="2"/>
  <c r="D54" i="2"/>
  <c r="C54" i="2"/>
  <c r="B54" i="2"/>
  <c r="I53" i="2"/>
  <c r="H53" i="2"/>
  <c r="G53" i="2"/>
  <c r="F53" i="2"/>
  <c r="E53" i="2"/>
  <c r="D53" i="2"/>
  <c r="C53" i="2"/>
  <c r="B53" i="2"/>
  <c r="I52" i="2"/>
  <c r="H52" i="2"/>
  <c r="G52" i="2"/>
  <c r="F52" i="2"/>
  <c r="E52" i="2"/>
  <c r="D52" i="2"/>
  <c r="C52" i="2"/>
  <c r="B52" i="2"/>
  <c r="I51" i="2"/>
  <c r="H51" i="2"/>
  <c r="G51" i="2"/>
  <c r="F51" i="2"/>
  <c r="E51" i="2"/>
  <c r="D51" i="2"/>
  <c r="C51" i="2"/>
  <c r="B51" i="2"/>
  <c r="I50" i="2"/>
  <c r="H50" i="2"/>
  <c r="G50" i="2"/>
  <c r="F50" i="2"/>
  <c r="E50" i="2"/>
  <c r="D50" i="2"/>
  <c r="C50" i="2"/>
  <c r="B50" i="2"/>
  <c r="I49" i="2"/>
  <c r="H49" i="2"/>
  <c r="G49" i="2"/>
  <c r="F49" i="2"/>
  <c r="E49" i="2"/>
  <c r="D49" i="2"/>
  <c r="C49" i="2"/>
  <c r="B49" i="2"/>
  <c r="I48" i="2"/>
  <c r="H48" i="2"/>
  <c r="G48" i="2"/>
  <c r="F48" i="2"/>
  <c r="E48" i="2"/>
  <c r="D48" i="2"/>
  <c r="C48" i="2"/>
  <c r="B48" i="2"/>
  <c r="I47" i="2"/>
  <c r="H47" i="2"/>
  <c r="G47" i="2"/>
  <c r="F47" i="2"/>
  <c r="E47" i="2"/>
  <c r="D47" i="2"/>
  <c r="C47" i="2"/>
  <c r="B47" i="2"/>
  <c r="I46" i="2"/>
  <c r="H46" i="2"/>
  <c r="G46" i="2"/>
  <c r="F46" i="2"/>
  <c r="E46" i="2"/>
  <c r="D46" i="2"/>
  <c r="C46" i="2"/>
  <c r="B46" i="2"/>
  <c r="I45" i="2"/>
  <c r="H45" i="2"/>
  <c r="G45" i="2"/>
  <c r="F45" i="2"/>
  <c r="E45" i="2"/>
  <c r="D45" i="2"/>
  <c r="C45" i="2"/>
  <c r="B45" i="2"/>
  <c r="I44" i="2"/>
  <c r="H44" i="2"/>
  <c r="G44" i="2"/>
  <c r="F44" i="2"/>
  <c r="E44" i="2"/>
  <c r="D44" i="2"/>
  <c r="C44" i="2"/>
  <c r="B44" i="2"/>
  <c r="I40" i="2"/>
  <c r="H40" i="2"/>
  <c r="G40" i="2"/>
  <c r="F40" i="2"/>
  <c r="E40" i="2"/>
  <c r="D40" i="2"/>
  <c r="C40" i="2"/>
  <c r="B40" i="2"/>
  <c r="I39" i="2"/>
  <c r="H39" i="2"/>
  <c r="G39" i="2"/>
  <c r="F39" i="2"/>
  <c r="E39" i="2"/>
  <c r="D39" i="2"/>
  <c r="C39" i="2"/>
  <c r="B39" i="2"/>
  <c r="I38" i="2"/>
  <c r="H38" i="2"/>
  <c r="G38" i="2"/>
  <c r="F38" i="2"/>
  <c r="E38" i="2"/>
  <c r="D38" i="2"/>
  <c r="C38" i="2"/>
  <c r="B38" i="2"/>
  <c r="I37" i="2"/>
  <c r="H37" i="2"/>
  <c r="G37" i="2"/>
  <c r="F37" i="2"/>
  <c r="E37" i="2"/>
  <c r="D37" i="2"/>
  <c r="C37" i="2"/>
  <c r="B37" i="2"/>
  <c r="I36" i="2"/>
  <c r="H36" i="2"/>
  <c r="G36" i="2"/>
  <c r="F36" i="2"/>
  <c r="E36" i="2"/>
  <c r="D36" i="2"/>
  <c r="C36" i="2"/>
  <c r="B36" i="2"/>
  <c r="I35" i="2"/>
  <c r="H35" i="2"/>
  <c r="G35" i="2"/>
  <c r="F35" i="2"/>
  <c r="E35" i="2"/>
  <c r="D35" i="2"/>
  <c r="C35" i="2"/>
  <c r="B35" i="2"/>
  <c r="I34" i="2"/>
  <c r="H34" i="2"/>
  <c r="G34" i="2"/>
  <c r="F34" i="2"/>
  <c r="E34" i="2"/>
  <c r="D34" i="2"/>
  <c r="C34" i="2"/>
  <c r="B34" i="2"/>
  <c r="I33" i="2"/>
  <c r="H33" i="2"/>
  <c r="G33" i="2"/>
  <c r="F33" i="2"/>
  <c r="E33" i="2"/>
  <c r="D33" i="2"/>
  <c r="C33" i="2"/>
  <c r="B33" i="2"/>
  <c r="I32" i="2"/>
  <c r="H32" i="2"/>
  <c r="G32" i="2"/>
  <c r="F32" i="2"/>
  <c r="E32" i="2"/>
  <c r="D32" i="2"/>
  <c r="C32" i="2"/>
  <c r="B32" i="2"/>
  <c r="I31" i="2"/>
  <c r="H31" i="2"/>
  <c r="G31" i="2"/>
  <c r="F31" i="2"/>
  <c r="E31" i="2"/>
  <c r="D31" i="2"/>
  <c r="C31" i="2"/>
  <c r="B31" i="2"/>
  <c r="I30" i="2"/>
  <c r="H30" i="2"/>
  <c r="G30" i="2"/>
  <c r="F30" i="2"/>
  <c r="E30" i="2"/>
  <c r="D30" i="2"/>
  <c r="C30" i="2"/>
  <c r="B30" i="2"/>
  <c r="I29" i="2"/>
  <c r="H29" i="2"/>
  <c r="G29" i="2"/>
  <c r="F29" i="2"/>
  <c r="E29" i="2"/>
  <c r="D29" i="2"/>
  <c r="C29" i="2"/>
  <c r="B29" i="2"/>
  <c r="I28" i="2"/>
  <c r="H28" i="2"/>
  <c r="G28" i="2"/>
  <c r="F28" i="2"/>
  <c r="E28" i="2"/>
  <c r="D28" i="2"/>
  <c r="C28" i="2"/>
  <c r="B28" i="2"/>
  <c r="I27" i="2"/>
  <c r="H27" i="2"/>
  <c r="G27" i="2"/>
  <c r="F27" i="2"/>
  <c r="E27" i="2"/>
  <c r="D27" i="2"/>
  <c r="C27" i="2"/>
  <c r="B27" i="2"/>
  <c r="I26" i="2"/>
  <c r="H26" i="2"/>
  <c r="G26" i="2"/>
  <c r="F26" i="2"/>
  <c r="E26" i="2"/>
  <c r="D26" i="2"/>
  <c r="C26" i="2"/>
  <c r="B26" i="2"/>
  <c r="I25" i="2"/>
  <c r="H25" i="2"/>
  <c r="G25" i="2"/>
  <c r="F25" i="2"/>
  <c r="E25" i="2"/>
  <c r="D25" i="2"/>
  <c r="C25" i="2"/>
  <c r="B25" i="2"/>
  <c r="I24" i="2"/>
  <c r="H24" i="2"/>
  <c r="G24" i="2"/>
  <c r="F24" i="2"/>
  <c r="E24" i="2"/>
  <c r="D24" i="2"/>
  <c r="C24" i="2"/>
  <c r="B24" i="2"/>
  <c r="I20" i="2"/>
  <c r="H20" i="2"/>
  <c r="G20" i="2"/>
  <c r="F20" i="2"/>
  <c r="E20" i="2"/>
  <c r="D20" i="2"/>
  <c r="C20" i="2"/>
  <c r="B20" i="2"/>
  <c r="I19" i="2"/>
  <c r="H19" i="2"/>
  <c r="G19" i="2"/>
  <c r="F19" i="2"/>
  <c r="E19" i="2"/>
  <c r="D19" i="2"/>
  <c r="C19" i="2"/>
  <c r="B19" i="2"/>
  <c r="I18" i="2"/>
  <c r="H18" i="2"/>
  <c r="G18" i="2"/>
  <c r="F18" i="2"/>
  <c r="E18" i="2"/>
  <c r="D18" i="2"/>
  <c r="C18" i="2"/>
  <c r="B18" i="2"/>
  <c r="I17" i="2"/>
  <c r="H17" i="2"/>
  <c r="G17" i="2"/>
  <c r="F17" i="2"/>
  <c r="E17" i="2"/>
  <c r="D17" i="2"/>
  <c r="C17" i="2"/>
  <c r="B17" i="2"/>
  <c r="I16" i="2"/>
  <c r="H16" i="2"/>
  <c r="G16" i="2"/>
  <c r="F16" i="2"/>
  <c r="E16" i="2"/>
  <c r="D16" i="2"/>
  <c r="C16" i="2"/>
  <c r="B16" i="2"/>
  <c r="I15" i="2"/>
  <c r="H15" i="2"/>
  <c r="G15" i="2"/>
  <c r="F15" i="2"/>
  <c r="E15" i="2"/>
  <c r="D15" i="2"/>
  <c r="C15" i="2"/>
  <c r="B15" i="2"/>
  <c r="I14" i="2"/>
  <c r="H14" i="2"/>
  <c r="G14" i="2"/>
  <c r="F14" i="2"/>
  <c r="E14" i="2"/>
  <c r="D14" i="2"/>
  <c r="C14" i="2"/>
  <c r="B14" i="2"/>
  <c r="I13" i="2"/>
  <c r="H13" i="2"/>
  <c r="G13" i="2"/>
  <c r="F13" i="2"/>
  <c r="E13" i="2"/>
  <c r="D13" i="2"/>
  <c r="C13" i="2"/>
  <c r="B13" i="2"/>
  <c r="I12" i="2"/>
  <c r="H12" i="2"/>
  <c r="G12" i="2"/>
  <c r="F12" i="2"/>
  <c r="E12" i="2"/>
  <c r="D12" i="2"/>
  <c r="C12" i="2"/>
  <c r="B12" i="2"/>
  <c r="I11" i="2"/>
  <c r="H11" i="2"/>
  <c r="G11" i="2"/>
  <c r="F11" i="2"/>
  <c r="E11" i="2"/>
  <c r="D11" i="2"/>
  <c r="C11" i="2"/>
  <c r="B11" i="2"/>
  <c r="I10" i="2"/>
  <c r="H10" i="2"/>
  <c r="G10" i="2"/>
  <c r="F10" i="2"/>
  <c r="E10" i="2"/>
  <c r="D10" i="2"/>
  <c r="C10" i="2"/>
  <c r="B10" i="2"/>
  <c r="I9" i="2"/>
  <c r="H9" i="2"/>
  <c r="G9" i="2"/>
  <c r="F9" i="2"/>
  <c r="E9" i="2"/>
  <c r="D9" i="2"/>
  <c r="C9" i="2"/>
  <c r="B9" i="2"/>
  <c r="I8" i="2"/>
  <c r="H8" i="2"/>
  <c r="G8" i="2"/>
  <c r="F8" i="2"/>
  <c r="E8" i="2"/>
  <c r="D8" i="2"/>
  <c r="C8" i="2"/>
  <c r="B8" i="2"/>
  <c r="I7" i="2"/>
  <c r="H7" i="2"/>
  <c r="G7" i="2"/>
  <c r="F7" i="2"/>
  <c r="E7" i="2"/>
  <c r="D7" i="2"/>
  <c r="C7" i="2"/>
  <c r="B7" i="2"/>
  <c r="I6" i="2"/>
  <c r="H6" i="2"/>
  <c r="G6" i="2"/>
  <c r="F6" i="2"/>
  <c r="E6" i="2"/>
  <c r="D6" i="2"/>
  <c r="C6" i="2"/>
  <c r="B6" i="2"/>
  <c r="I5" i="2"/>
  <c r="H5" i="2"/>
  <c r="G5" i="2"/>
  <c r="F5" i="2"/>
  <c r="E5" i="2"/>
  <c r="D5" i="2"/>
  <c r="C5" i="2"/>
  <c r="B5" i="2"/>
  <c r="I4" i="2"/>
  <c r="H4" i="2"/>
  <c r="G4" i="2"/>
  <c r="F4" i="2"/>
  <c r="E4" i="2"/>
  <c r="D4" i="2"/>
  <c r="C4" i="2"/>
  <c r="B4" i="2"/>
</calcChain>
</file>

<file path=xl/sharedStrings.xml><?xml version="1.0" encoding="utf-8"?>
<sst xmlns="http://schemas.openxmlformats.org/spreadsheetml/2006/main" count="342" uniqueCount="79">
  <si>
    <t>التعويضات التحميلية خلال العام (المجموع التأمين العام والصحي)</t>
  </si>
  <si>
    <t>الشركة</t>
  </si>
  <si>
    <t>الأقساط المباشرة</t>
  </si>
  <si>
    <t>وارد محلي</t>
  </si>
  <si>
    <t>وارد من الخارج</t>
  </si>
  <si>
    <t>(أ) إجمالي الوارد</t>
  </si>
  <si>
    <t>صادر محلي</t>
  </si>
  <si>
    <t>صادر للخارج</t>
  </si>
  <si>
    <t>(ب) إجمالي الصادر</t>
  </si>
  <si>
    <t>( أ - ب ) الصافي</t>
  </si>
  <si>
    <t>  المدينة للتأمين</t>
  </si>
  <si>
    <t>  الشركة الأمريكية للتأمين على الحياة (متلايف)</t>
  </si>
  <si>
    <t>  الشركة العمانية المتحدة للتأمين</t>
  </si>
  <si>
    <t>  الشركة الهندية الجديدة للتأمين المحدودة</t>
  </si>
  <si>
    <t>  الشركة الوطنية للتأمين على الحياة والعام</t>
  </si>
  <si>
    <t>  العمانية القطرية للتأمين</t>
  </si>
  <si>
    <t>  تكافل عمان للتأمين</t>
  </si>
  <si>
    <t>  شركة التأمين الإيرانية</t>
  </si>
  <si>
    <t>  شركة التأمين العربية السعودية ش.م.ب(م)</t>
  </si>
  <si>
    <t>  شركة التأمين العربية فالكون</t>
  </si>
  <si>
    <t>  شركة أورينت للتأمين</t>
  </si>
  <si>
    <t>  شركة سيغنا الشرق الأوسط للتأمين ش.م.ل</t>
  </si>
  <si>
    <t>  شركة ظفار للتأمين</t>
  </si>
  <si>
    <t>  شركة عمان للتأمين ("سكون للتأمين")</t>
  </si>
  <si>
    <t>  شركة مسقط للتأمين (ش.م.ع.ع)</t>
  </si>
  <si>
    <t>  ليفا للتأمين</t>
  </si>
  <si>
    <t>  مجموعة الخليج للتأمين (الخليج) ش.م.ب (م)</t>
  </si>
  <si>
    <t>جدول رقم(85) : التعويضات التحميلية خلال العام (إجمالي التأمين العام)</t>
  </si>
  <si>
    <t>جدول رقم(86) : التعويضات التحميلية خلال العام (النقل)</t>
  </si>
  <si>
    <t>جدول رقم(87) : التعويضات التحميلية خلال العام (الممتلكات)</t>
  </si>
  <si>
    <t>جدول رقم(88) : التعويضات التحميلية خلال العام (المركبات الشامل)</t>
  </si>
  <si>
    <t>جدول رقم(89) : التعويضات التحميلية خلال العام (المركبات الطرف الثالث)</t>
  </si>
  <si>
    <t>جدول رقم(90) : التعويضات التحميلية خلال العام (المسؤولية)</t>
  </si>
  <si>
    <t>جدول رقم(91) : التعويضات التحميلية خلال العام (الهندسي)</t>
  </si>
  <si>
    <t>جدول رقم(92) : التعويضات التحميلية خلال العام (الصحي)</t>
  </si>
  <si>
    <t>جدول رقم(93) : التعويضات التحميلية خلال العام (الأخرى)</t>
  </si>
  <si>
    <t>إسم مجموعة البيانات</t>
  </si>
  <si>
    <t>وصف مجموعة البيانات</t>
  </si>
  <si>
    <t>يعرض أبرز المؤشرات الإحصائية المرتبطة بقطاع التأمين في سلطنة عمان مثل أقساط التأمين والتعويضات المدفوعة وعدد وثائق التأمين المصدرة وعدد العاملين ومعدلات الاحتفاظ ومعدلات الخسائر لمختلف فروع التأمين، إضافة إلى المؤشرات المالية لشركات التأمين وأدائها التشغيلي ابتداءً من عام 2003م.</t>
  </si>
  <si>
    <t>الفئة</t>
  </si>
  <si>
    <t>قطاع التأمين</t>
  </si>
  <si>
    <t>الدورية</t>
  </si>
  <si>
    <t>سنوي</t>
  </si>
  <si>
    <t>الكلمات المفتاحية</t>
  </si>
  <si>
    <t>التأمين التقليدي، التأمين التكافلي، الأقساط المباشرة، الأقساط المكتسبة، المطالبات، التعويضات، الوثائق، معدل الاحتفاظ، معدل الخسائر، المخصصات الفنية</t>
  </si>
  <si>
    <t>تاريخ النشر</t>
  </si>
  <si>
    <t>تاريخ التعديل</t>
  </si>
  <si>
    <t>آني</t>
  </si>
  <si>
    <t>اسم نقطة التواصل</t>
  </si>
  <si>
    <t>فريق البيانات المفتوحة</t>
  </si>
  <si>
    <t>رقم التواصل</t>
  </si>
  <si>
    <t>[24823162] , [24823277]</t>
  </si>
  <si>
    <t>البريد الإلكتروني</t>
  </si>
  <si>
    <t>digital@fsa.gov.om</t>
  </si>
  <si>
    <t>صيغة الملف</t>
  </si>
  <si>
    <t>XLSX, HTML, JSON</t>
  </si>
  <si>
    <t>الفترة المرجعية للبيانات</t>
  </si>
  <si>
    <t>2003-2022</t>
  </si>
  <si>
    <t>التغطية الجغرافية للبيانات</t>
  </si>
  <si>
    <t>شركات التأمين العاملة في سلطنة عمان</t>
  </si>
  <si>
    <t>مؤشرات اجمالية</t>
  </si>
  <si>
    <t>مؤشرات إجمالية لعام 2022م: إجمالي الأقساط المباشرة: 541.326 مليون ريال عماني إجمالي الأقساط المباشرة للتأمين التكافلي: 76.256 مليون ريال عماني إجمالي التعويضات المدفوعة 317.035 مليون ريال عماني عدد الوثائق المصدرة: 2,027,527 وثيقة</t>
  </si>
  <si>
    <t>المصدر</t>
  </si>
  <si>
    <t>دائرة التحليل المالي وإدارة المخاطر</t>
  </si>
  <si>
    <t>اللغة</t>
  </si>
  <si>
    <t>الانجليزية</t>
  </si>
  <si>
    <t>م</t>
  </si>
  <si>
    <t>اسم المتغير</t>
  </si>
  <si>
    <t>وصف المتغير</t>
  </si>
  <si>
    <t>نوع البيانات</t>
  </si>
  <si>
    <t>مستوى الإلزامية(إجباري/ اختياري)</t>
  </si>
  <si>
    <t>اسم شركة التأمين</t>
  </si>
  <si>
    <t>نص</t>
  </si>
  <si>
    <t>إلزامي</t>
  </si>
  <si>
    <t>رقم</t>
  </si>
  <si>
    <t>إجمالي الوارد</t>
  </si>
  <si>
    <t>إجمالي الصادر</t>
  </si>
  <si>
    <t>الصافي</t>
  </si>
  <si>
    <t>التعويضات التحميلية خلال العام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</si>
</sst>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Arial"/>
      <family val="2"/>
      <scheme val="minor"/>
    </font>
    <font>
      <sz val="11"/>
      <color theme="1"/>
      <name val="Arial"/>
      <family val="2"/>
      <scheme val="minor"/>
    </font>
    <font>
      <sz val="18"/>
      <color theme="3"/>
      <name val="Times New Roman"/>
      <family val="2"/>
      <scheme val="major"/>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10"/>
      <color theme="1"/>
      <name val="Arial"/>
      <family val="2"/>
      <scheme val="minor"/>
    </font>
    <font>
      <sz val="10"/>
      <color rgb="FFFFFFFF"/>
      <name val="Arial"/>
      <family val="2"/>
      <scheme val="minor"/>
    </font>
    <font>
      <b/>
      <sz val="10"/>
      <color rgb="FF000000"/>
      <name val="Arial"/>
      <family val="2"/>
      <scheme val="minor"/>
    </font>
    <font>
      <b/>
      <sz val="10"/>
      <color theme="1"/>
      <name val="Arial"/>
      <family val="2"/>
      <scheme val="minor"/>
    </font>
    <font>
      <sz val="14"/>
      <color theme="0"/>
      <name val="Arial"/>
      <family val="2"/>
      <scheme val="minor"/>
    </font>
    <font>
      <sz val="11"/>
      <color rgb="FF212529"/>
      <name val="Arial"/>
      <family val="2"/>
      <scheme val="minor"/>
    </font>
    <font>
      <b/>
      <sz val="12"/>
      <color rgb="FF000000"/>
      <name val="Arial"/>
      <family val="2"/>
      <scheme val="minor"/>
    </font>
    <font>
      <sz val="12"/>
      <color rgb="FF000000"/>
      <name val="Arial"/>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7AB7"/>
        <bgColor indexed="64"/>
      </patternFill>
    </fill>
    <fill>
      <patternFill patternType="solid">
        <fgColor rgb="FFD2D6DE"/>
        <bgColor indexed="64"/>
      </patternFill>
    </fill>
    <fill>
      <patternFill patternType="solid">
        <fgColor rgb="FFFFFFFF"/>
        <bgColor indexed="64"/>
      </patternFill>
    </fill>
    <fill>
      <patternFill patternType="solid">
        <fgColor rgb="FF4472C4"/>
        <bgColor rgb="FF000000"/>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6CA5DA"/>
      </left>
      <right style="medium">
        <color rgb="FF6CA5DA"/>
      </right>
      <top style="medium">
        <color rgb="FF6CA5DA"/>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20" fillId="34" borderId="0" xfId="0" applyFont="1" applyFill="1" applyAlignment="1">
      <alignment horizontal="center" vertical="center" wrapText="1"/>
    </xf>
    <xf numFmtId="0" fontId="21" fillId="0" borderId="0" xfId="0" applyFont="1" applyAlignment="1">
      <alignment horizontal="center" vertical="center" wrapText="1"/>
    </xf>
    <xf numFmtId="0" fontId="18" fillId="0" borderId="0" xfId="0" applyFont="1" applyAlignment="1">
      <alignment wrapText="1"/>
    </xf>
    <xf numFmtId="0" fontId="20" fillId="34" borderId="0" xfId="0" applyFont="1" applyFill="1" applyAlignment="1">
      <alignment horizontal="center" vertical="center" wrapText="1"/>
    </xf>
    <xf numFmtId="0" fontId="19" fillId="33" borderId="0" xfId="0" applyFont="1" applyFill="1" applyAlignment="1">
      <alignment horizontal="center" wrapText="1"/>
    </xf>
    <xf numFmtId="0" fontId="22" fillId="25" borderId="10" xfId="34" applyFont="1" applyBorder="1" applyAlignment="1">
      <alignment horizontal="center" vertical="center" wrapText="1"/>
    </xf>
    <xf numFmtId="0" fontId="23" fillId="35" borderId="11" xfId="0" applyFont="1" applyFill="1" applyBorder="1" applyAlignment="1">
      <alignment horizontal="right" vertical="center" wrapText="1"/>
    </xf>
    <xf numFmtId="14" fontId="23" fillId="35" borderId="11" xfId="0" applyNumberFormat="1" applyFont="1" applyFill="1" applyBorder="1" applyAlignment="1">
      <alignment horizontal="center" vertical="center" wrapText="1"/>
    </xf>
    <xf numFmtId="0" fontId="17" fillId="36" borderId="11" xfId="34" applyFill="1" applyBorder="1" applyAlignment="1">
      <alignment horizontal="center" vertical="center" wrapText="1" readingOrder="2"/>
    </xf>
    <xf numFmtId="0" fontId="24" fillId="0" borderId="12" xfId="0" applyFont="1" applyBorder="1" applyAlignment="1">
      <alignment horizontal="center" vertical="center" wrapText="1" readingOrder="2"/>
    </xf>
    <xf numFmtId="0" fontId="25" fillId="0" borderId="12" xfId="0" applyFont="1" applyBorder="1" applyAlignment="1">
      <alignment horizontal="center" vertical="center" wrapText="1" readingOrder="2"/>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rightToLeft="1" tabSelected="1" workbookViewId="0">
      <selection activeCell="F8" sqref="F8"/>
    </sheetView>
  </sheetViews>
  <sheetFormatPr defaultRowHeight="14" x14ac:dyDescent="0.3"/>
  <cols>
    <col min="1" max="1" width="40.1640625" customWidth="1"/>
    <col min="2" max="2" width="41.75" customWidth="1"/>
  </cols>
  <sheetData>
    <row r="1" spans="1:2" ht="17.5" x14ac:dyDescent="0.3">
      <c r="A1" s="6" t="s">
        <v>36</v>
      </c>
      <c r="B1" s="6" t="s">
        <v>78</v>
      </c>
    </row>
    <row r="2" spans="1:2" ht="70" x14ac:dyDescent="0.3">
      <c r="A2" s="7" t="s">
        <v>37</v>
      </c>
      <c r="B2" s="7" t="s">
        <v>38</v>
      </c>
    </row>
    <row r="3" spans="1:2" x14ac:dyDescent="0.3">
      <c r="A3" s="7" t="s">
        <v>39</v>
      </c>
      <c r="B3" s="7" t="s">
        <v>40</v>
      </c>
    </row>
    <row r="4" spans="1:2" x14ac:dyDescent="0.3">
      <c r="A4" s="7" t="s">
        <v>41</v>
      </c>
      <c r="B4" s="7" t="s">
        <v>42</v>
      </c>
    </row>
    <row r="5" spans="1:2" ht="42" x14ac:dyDescent="0.3">
      <c r="A5" s="7" t="s">
        <v>43</v>
      </c>
      <c r="B5" s="7" t="s">
        <v>44</v>
      </c>
    </row>
    <row r="6" spans="1:2" x14ac:dyDescent="0.3">
      <c r="A6" s="7" t="s">
        <v>45</v>
      </c>
      <c r="B6" s="8">
        <v>44568</v>
      </c>
    </row>
    <row r="7" spans="1:2" x14ac:dyDescent="0.3">
      <c r="A7" s="7" t="s">
        <v>46</v>
      </c>
      <c r="B7" s="7" t="s">
        <v>47</v>
      </c>
    </row>
    <row r="8" spans="1:2" x14ac:dyDescent="0.3">
      <c r="A8" s="7" t="s">
        <v>48</v>
      </c>
      <c r="B8" s="7" t="s">
        <v>49</v>
      </c>
    </row>
    <row r="9" spans="1:2" x14ac:dyDescent="0.3">
      <c r="A9" s="7" t="s">
        <v>50</v>
      </c>
      <c r="B9" s="7" t="s">
        <v>51</v>
      </c>
    </row>
    <row r="10" spans="1:2" x14ac:dyDescent="0.3">
      <c r="A10" s="7" t="s">
        <v>52</v>
      </c>
      <c r="B10" s="7" t="s">
        <v>53</v>
      </c>
    </row>
    <row r="11" spans="1:2" x14ac:dyDescent="0.3">
      <c r="A11" s="7" t="s">
        <v>54</v>
      </c>
      <c r="B11" s="7" t="s">
        <v>55</v>
      </c>
    </row>
    <row r="12" spans="1:2" x14ac:dyDescent="0.3">
      <c r="A12" s="7" t="s">
        <v>56</v>
      </c>
      <c r="B12" s="7" t="s">
        <v>57</v>
      </c>
    </row>
    <row r="13" spans="1:2" x14ac:dyDescent="0.3">
      <c r="A13" s="7" t="s">
        <v>58</v>
      </c>
      <c r="B13" s="7" t="s">
        <v>59</v>
      </c>
    </row>
    <row r="14" spans="1:2" ht="70" x14ac:dyDescent="0.3">
      <c r="A14" s="7" t="s">
        <v>60</v>
      </c>
      <c r="B14" s="7" t="s">
        <v>61</v>
      </c>
    </row>
    <row r="15" spans="1:2" x14ac:dyDescent="0.3">
      <c r="A15" s="7" t="s">
        <v>62</v>
      </c>
      <c r="B15" s="7" t="s">
        <v>63</v>
      </c>
    </row>
    <row r="16" spans="1:2" x14ac:dyDescent="0.3">
      <c r="A16" s="7" t="s">
        <v>64</v>
      </c>
      <c r="B16" s="7" t="s">
        <v>65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rightToLeft="1" workbookViewId="0">
      <selection activeCell="D28" sqref="D28"/>
    </sheetView>
  </sheetViews>
  <sheetFormatPr defaultRowHeight="14" x14ac:dyDescent="0.3"/>
  <cols>
    <col min="1" max="3" width="20.58203125" customWidth="1"/>
    <col min="4" max="4" width="22.4140625" customWidth="1"/>
    <col min="5" max="5" width="25.5" customWidth="1"/>
  </cols>
  <sheetData>
    <row r="1" spans="1:5" x14ac:dyDescent="0.3">
      <c r="A1" s="9" t="s">
        <v>66</v>
      </c>
      <c r="B1" s="9" t="s">
        <v>67</v>
      </c>
      <c r="C1" s="9" t="s">
        <v>68</v>
      </c>
      <c r="D1" s="9" t="s">
        <v>69</v>
      </c>
      <c r="E1" s="9" t="s">
        <v>70</v>
      </c>
    </row>
    <row r="2" spans="1:5" ht="15.5" x14ac:dyDescent="0.3">
      <c r="A2" s="10">
        <v>1</v>
      </c>
      <c r="B2" s="11" t="s">
        <v>1</v>
      </c>
      <c r="C2" s="11" t="s">
        <v>71</v>
      </c>
      <c r="D2" s="11" t="s">
        <v>72</v>
      </c>
      <c r="E2" s="11" t="s">
        <v>73</v>
      </c>
    </row>
    <row r="3" spans="1:5" ht="15.5" x14ac:dyDescent="0.3">
      <c r="A3" s="10">
        <v>2</v>
      </c>
      <c r="B3" s="11" t="s">
        <v>2</v>
      </c>
      <c r="C3" s="11" t="s">
        <v>2</v>
      </c>
      <c r="D3" s="11" t="s">
        <v>74</v>
      </c>
      <c r="E3" s="11" t="s">
        <v>73</v>
      </c>
    </row>
    <row r="4" spans="1:5" ht="15.5" x14ac:dyDescent="0.3">
      <c r="A4" s="10">
        <v>3</v>
      </c>
      <c r="B4" s="11" t="s">
        <v>3</v>
      </c>
      <c r="C4" s="11" t="s">
        <v>3</v>
      </c>
      <c r="D4" s="11" t="s">
        <v>74</v>
      </c>
      <c r="E4" s="11" t="s">
        <v>73</v>
      </c>
    </row>
    <row r="5" spans="1:5" ht="15.5" x14ac:dyDescent="0.3">
      <c r="A5" s="10">
        <v>4</v>
      </c>
      <c r="B5" s="11" t="s">
        <v>4</v>
      </c>
      <c r="C5" s="11" t="s">
        <v>4</v>
      </c>
      <c r="D5" s="11" t="s">
        <v>74</v>
      </c>
      <c r="E5" s="11" t="s">
        <v>73</v>
      </c>
    </row>
    <row r="6" spans="1:5" ht="15.5" x14ac:dyDescent="0.3">
      <c r="A6" s="10">
        <v>5</v>
      </c>
      <c r="B6" s="11" t="s">
        <v>75</v>
      </c>
      <c r="C6" s="11" t="s">
        <v>75</v>
      </c>
      <c r="D6" s="11" t="s">
        <v>74</v>
      </c>
      <c r="E6" s="11" t="s">
        <v>73</v>
      </c>
    </row>
    <row r="7" spans="1:5" ht="15.5" x14ac:dyDescent="0.3">
      <c r="A7" s="10">
        <v>6</v>
      </c>
      <c r="B7" s="11" t="s">
        <v>6</v>
      </c>
      <c r="C7" s="11" t="s">
        <v>6</v>
      </c>
      <c r="D7" s="11" t="s">
        <v>74</v>
      </c>
      <c r="E7" s="11" t="s">
        <v>73</v>
      </c>
    </row>
    <row r="8" spans="1:5" ht="15.5" x14ac:dyDescent="0.3">
      <c r="A8" s="10">
        <v>7</v>
      </c>
      <c r="B8" s="11" t="s">
        <v>7</v>
      </c>
      <c r="C8" s="11" t="s">
        <v>7</v>
      </c>
      <c r="D8" s="11" t="s">
        <v>74</v>
      </c>
      <c r="E8" s="11" t="s">
        <v>73</v>
      </c>
    </row>
    <row r="9" spans="1:5" ht="15.5" x14ac:dyDescent="0.3">
      <c r="A9" s="10">
        <v>8</v>
      </c>
      <c r="B9" s="11" t="s">
        <v>76</v>
      </c>
      <c r="C9" s="11" t="s">
        <v>76</v>
      </c>
      <c r="D9" s="11" t="s">
        <v>74</v>
      </c>
      <c r="E9" s="11" t="s">
        <v>73</v>
      </c>
    </row>
    <row r="10" spans="1:5" ht="15.5" x14ac:dyDescent="0.3">
      <c r="A10" s="10">
        <v>9</v>
      </c>
      <c r="B10" s="11" t="s">
        <v>77</v>
      </c>
      <c r="C10" s="11" t="s">
        <v>77</v>
      </c>
      <c r="D10" s="11" t="s">
        <v>74</v>
      </c>
      <c r="E10" s="11" t="s">
        <v>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0"/>
  <sheetViews>
    <sheetView rightToLeft="1" workbookViewId="0">
      <selection sqref="A1:I1"/>
    </sheetView>
  </sheetViews>
  <sheetFormatPr defaultRowHeight="12.75" x14ac:dyDescent="0.3"/>
  <cols>
    <col min="1" max="1" width="26.75" bestFit="1" customWidth="1"/>
    <col min="2" max="2" width="9.75" bestFit="1" customWidth="1"/>
    <col min="3" max="3" width="6.58203125" bestFit="1" customWidth="1"/>
    <col min="4" max="4" width="9.5" bestFit="1" customWidth="1"/>
    <col min="5" max="5" width="10.08203125" bestFit="1" customWidth="1"/>
    <col min="6" max="6" width="7.1640625" bestFit="1" customWidth="1"/>
    <col min="7" max="7" width="8.08203125" bestFit="1" customWidth="1"/>
    <col min="8" max="8" width="11.4140625" bestFit="1" customWidth="1"/>
    <col min="9" max="9" width="10.33203125" bestFit="1" customWidth="1"/>
  </cols>
  <sheetData>
    <row r="1" spans="1:9" ht="12.5" customHeight="1" x14ac:dyDescent="0.3">
      <c r="A1" s="5" t="s">
        <v>0</v>
      </c>
      <c r="B1" s="5"/>
      <c r="C1" s="5"/>
      <c r="D1" s="5"/>
      <c r="E1" s="5"/>
      <c r="F1" s="5"/>
      <c r="G1" s="5"/>
      <c r="H1" s="5"/>
      <c r="I1" s="5"/>
    </row>
    <row r="2" spans="1:9" ht="14" x14ac:dyDescent="0.3">
      <c r="A2" s="4" t="s">
        <v>1</v>
      </c>
      <c r="B2" s="1" t="s">
        <v>2</v>
      </c>
      <c r="C2" s="1" t="s">
        <v>3</v>
      </c>
      <c r="D2" s="1" t="s">
        <v>4</v>
      </c>
      <c r="E2" s="1" t="s">
        <v>5</v>
      </c>
      <c r="F2" s="1" t="s">
        <v>6</v>
      </c>
      <c r="G2" s="1" t="s">
        <v>7</v>
      </c>
      <c r="H2" s="1" t="s">
        <v>8</v>
      </c>
      <c r="I2" s="1" t="s">
        <v>9</v>
      </c>
    </row>
    <row r="3" spans="1:9" ht="14" x14ac:dyDescent="0.3">
      <c r="A3" s="4"/>
      <c r="B3" s="1">
        <v>2023</v>
      </c>
      <c r="C3" s="1">
        <v>2023</v>
      </c>
      <c r="D3" s="1">
        <v>2023</v>
      </c>
      <c r="E3" s="1">
        <v>2023</v>
      </c>
      <c r="F3" s="1">
        <v>2023</v>
      </c>
      <c r="G3" s="1">
        <v>2023</v>
      </c>
      <c r="H3" s="1">
        <v>2023</v>
      </c>
      <c r="I3" s="1">
        <v>2023</v>
      </c>
    </row>
    <row r="4" spans="1:9" ht="14" x14ac:dyDescent="0.3">
      <c r="A4" s="2" t="s">
        <v>10</v>
      </c>
      <c r="B4" s="3">
        <f>(((-68659)+14110097+(2213444+3213433)+156582+5286041+(-5895713))+4700750)</f>
        <v>23715975</v>
      </c>
      <c r="C4" s="3">
        <f>((0+0+(0+0)+0+0+0)+0)</f>
        <v>0</v>
      </c>
      <c r="D4" s="3">
        <f>((0+0+(0+0)+0+0+0)+0)</f>
        <v>0</v>
      </c>
      <c r="E4" s="3">
        <f>((((-68659)+14110097+(2213444+3213433)+156582+5286041+(-5895713))+4700750)+((0+0+(0+0)+0+0+0)+0)+((0+0+(0+0)+0+0+0)+0))</f>
        <v>23715975</v>
      </c>
      <c r="F4" s="3">
        <f>((0+0+(0+0)+0+0+0)+0)</f>
        <v>0</v>
      </c>
      <c r="G4" s="3">
        <f>(((-69941)+13947201+(570468+372389)+80339+512894+(-1260296))+1446430)</f>
        <v>15599484</v>
      </c>
      <c r="H4" s="3">
        <f>(((0+0+(0+0)+0+0+0)+0)+(((-69941)+13947201+(570468+372389)+80339+512894+(-1260296))+1446430))</f>
        <v>15599484</v>
      </c>
      <c r="I4" s="3">
        <f>(((((-68659)+14110097+(2213444+3213433)+156582+5286041+(-5895713))+4700750)+((0+0+(0+0)+0+0+0)+0)+((0+0+(0+0)+0+0+0)+0))-(((0+0+(0+0)+0+0+0)+0)+(((-69941)+13947201+(570468+372389)+80339+512894+(-1260296))+1446430)))</f>
        <v>8116491</v>
      </c>
    </row>
    <row r="5" spans="1:9" ht="14" x14ac:dyDescent="0.3">
      <c r="A5" s="2" t="s">
        <v>11</v>
      </c>
      <c r="B5" s="3">
        <f>((0+0+(0+0)+0+0+792985)+2808915)</f>
        <v>3601900</v>
      </c>
      <c r="C5" s="3">
        <f>((0+0+(0+0)+0+0+0)+0)</f>
        <v>0</v>
      </c>
      <c r="D5" s="3">
        <f>((0+0+(0+0)+0+0+0)+0)</f>
        <v>0</v>
      </c>
      <c r="E5" s="3">
        <f>(((0+0+(0+0)+0+0+792985)+2808915)+((0+0+(0+0)+0+0+0)+0)+((0+0+(0+0)+0+0+0)+0))</f>
        <v>3601900</v>
      </c>
      <c r="F5" s="3">
        <f>((0+0+(0+0)+0+0+0)+0)</f>
        <v>0</v>
      </c>
      <c r="G5" s="3">
        <f>((0+0+(0+0)+0+0+(-838))+1540354)</f>
        <v>1539516</v>
      </c>
      <c r="H5" s="3">
        <f>(((0+0+(0+0)+0+0+0)+0)+((0+0+(0+0)+0+0+(-838))+1540354))</f>
        <v>1539516</v>
      </c>
      <c r="I5" s="3">
        <f>((((0+0+(0+0)+0+0+792985)+2808915)+((0+0+(0+0)+0+0+0)+0)+((0+0+(0+0)+0+0+0)+0))-(((0+0+(0+0)+0+0+0)+0)+((0+0+(0+0)+0+0+(-838))+1540354)))</f>
        <v>2062384</v>
      </c>
    </row>
    <row r="6" spans="1:9" ht="14" x14ac:dyDescent="0.3">
      <c r="A6" s="2" t="s">
        <v>12</v>
      </c>
      <c r="B6" s="3">
        <f>(((-122522)+(-2827687)+(8718056+4652623)+145485+(-3715235)+332252)+1928619)</f>
        <v>9111591</v>
      </c>
      <c r="C6" s="3">
        <f>(((-3027)+40501+(0+0)+0+43377+0)+0)</f>
        <v>80851</v>
      </c>
      <c r="D6" s="3">
        <f t="shared" ref="D6:D13" si="0">((0+0+(0+0)+0+0+0)+0)</f>
        <v>0</v>
      </c>
      <c r="E6" s="3">
        <f>((((-122522)+(-2827687)+(8718056+4652623)+145485+(-3715235)+332252)+1928619)+(((-3027)+40501+(0+0)+0+43377+0)+0)+((0+0+(0+0)+0+0+0)+0))</f>
        <v>9192442</v>
      </c>
      <c r="F6" s="3">
        <f>((185749+72164+(0+0)+0+2500+0)+0)</f>
        <v>260413</v>
      </c>
      <c r="G6" s="3">
        <f>(((-281044)+(-2822811)+(1099853+439642)+124685+(-3645394)+(-358608))+1109390)</f>
        <v>-4334287</v>
      </c>
      <c r="H6" s="3">
        <f>(((185749+72164+(0+0)+0+2500+0)+0)+(((-281044)+(-2822811)+(1099853+439642)+124685+(-3645394)+(-358608))+1109390))</f>
        <v>-4073874</v>
      </c>
      <c r="I6" s="3">
        <f>(((((-122522)+(-2827687)+(8718056+4652623)+145485+(-3715235)+332252)+1928619)+(((-3027)+40501+(0+0)+0+43377+0)+0)+((0+0+(0+0)+0+0+0)+0))-(((185749+72164+(0+0)+0+2500+0)+0)+(((-281044)+(-2822811)+(1099853+439642)+124685+(-3645394)+(-358608))+1109390)))</f>
        <v>13266316</v>
      </c>
    </row>
    <row r="7" spans="1:9" ht="14" x14ac:dyDescent="0.3">
      <c r="A7" s="2" t="s">
        <v>13</v>
      </c>
      <c r="B7" s="3">
        <f>((222270+(-88502)+(768857+3902496)+86734+303105+446435)+2271530)</f>
        <v>7912925</v>
      </c>
      <c r="C7" s="3">
        <f>((42721+(-21200)+(0+0)+0+7875+0)+233407)</f>
        <v>262803</v>
      </c>
      <c r="D7" s="3">
        <f t="shared" si="0"/>
        <v>0</v>
      </c>
      <c r="E7" s="3">
        <f>(((222270+(-88502)+(768857+3902496)+86734+303105+446435)+2271530)+((42721+(-21200)+(0+0)+0+7875+0)+233407)+((0+0+(0+0)+0+0+0)+0))</f>
        <v>8175728</v>
      </c>
      <c r="F7" s="3">
        <f>((0+(-84934)+(0+0)+(-1000)+(-2199)+0)+0)</f>
        <v>-88133</v>
      </c>
      <c r="G7" s="3">
        <f>((0+13801+(0+248411)+1000+(-67471)+2772)+0)</f>
        <v>198513</v>
      </c>
      <c r="H7" s="3">
        <f>(((0+(-84934)+(0+0)+(-1000)+(-2199)+0)+0)+((0+13801+(0+248411)+1000+(-67471)+2772)+0))</f>
        <v>110380</v>
      </c>
      <c r="I7" s="3">
        <f>((((222270+(-88502)+(768857+3902496)+86734+303105+446435)+2271530)+((42721+(-21200)+(0+0)+0+7875+0)+233407)+((0+0+(0+0)+0+0+0)+0))-(((0+(-84934)+(0+0)+(-1000)+(-2199)+0)+0)+((0+13801+(0+248411)+1000+(-67471)+2772)+0)))</f>
        <v>8065348</v>
      </c>
    </row>
    <row r="8" spans="1:9" ht="14" x14ac:dyDescent="0.3">
      <c r="A8" s="2" t="s">
        <v>14</v>
      </c>
      <c r="B8" s="3">
        <f>(((-1105)+(-1003338)+(1260579+(-3032553))+(-65283)+(-341244)+(-1401))+101276824)</f>
        <v>98092479</v>
      </c>
      <c r="C8" s="3">
        <f>((0+0+(0+0)+0+0+0)+0)</f>
        <v>0</v>
      </c>
      <c r="D8" s="3">
        <f t="shared" si="0"/>
        <v>0</v>
      </c>
      <c r="E8" s="3">
        <f>((((-1105)+(-1003338)+(1260579+(-3032553))+(-65283)+(-341244)+(-1401))+101276824)+((0+0+(0+0)+0+0+0)+0)+((0+0+(0+0)+0+0+0)+0))</f>
        <v>98092479</v>
      </c>
      <c r="F8" s="3">
        <f>((0+(-132164)+((-443)+443)+0+0+0)+0)</f>
        <v>-132164</v>
      </c>
      <c r="G8" s="3">
        <f>(((-773)+(-807175)+((-230802)+152499)+(-6393)+(-258658)+410)+25032938)</f>
        <v>23882046</v>
      </c>
      <c r="H8" s="3">
        <f>(((0+(-132164)+((-443)+443)+0+0+0)+0)+(((-773)+(-807175)+((-230802)+152499)+(-6393)+(-258658)+410)+25032938))</f>
        <v>23749882</v>
      </c>
      <c r="I8" s="3">
        <f>(((((-1105)+(-1003338)+(1260579+(-3032553))+(-65283)+(-341244)+(-1401))+101276824)+((0+0+(0+0)+0+0+0)+0)+((0+0+(0+0)+0+0+0)+0))-(((0+(-132164)+((-443)+443)+0+0+0)+0)+(((-773)+(-807175)+((-230802)+152499)+(-6393)+(-258658)+410)+25032938)))</f>
        <v>74342597</v>
      </c>
    </row>
    <row r="9" spans="1:9" ht="14" x14ac:dyDescent="0.3">
      <c r="A9" s="2" t="s">
        <v>15</v>
      </c>
      <c r="B9" s="3">
        <f>((2455433+4440657+(5948849+7610496)+(-7034)+18371857+597710)+15543981)</f>
        <v>54961949</v>
      </c>
      <c r="C9" s="3">
        <f>((0+0+(0+0)+0+0+0)+0)</f>
        <v>0</v>
      </c>
      <c r="D9" s="3">
        <f t="shared" si="0"/>
        <v>0</v>
      </c>
      <c r="E9" s="3">
        <f>(((2455433+4440657+(5948849+7610496)+(-7034)+18371857+597710)+15543981)+((0+0+(0+0)+0+0+0)+0)+((0+0+(0+0)+0+0+0)+0))</f>
        <v>54961949</v>
      </c>
      <c r="F9" s="3">
        <f>((0+185976+(0+0)+0+0+15500)+0)</f>
        <v>201476</v>
      </c>
      <c r="G9" s="3">
        <f>((2347902+4170912+(215751+809175)+(-60311)+18054015+304308)+4934134)</f>
        <v>30775886</v>
      </c>
      <c r="H9" s="3">
        <f>(((0+185976+(0+0)+0+0+15500)+0)+((2347902+4170912+(215751+809175)+(-60311)+18054015+304308)+4934134))</f>
        <v>30977362</v>
      </c>
      <c r="I9" s="3">
        <f>((((2455433+4440657+(5948849+7610496)+(-7034)+18371857+597710)+15543981)+((0+0+(0+0)+0+0+0)+0)+((0+0+(0+0)+0+0+0)+0))-(((0+185976+(0+0)+0+0+15500)+0)+((2347902+4170912+(215751+809175)+(-60311)+18054015+304308)+4934134)))</f>
        <v>23984587</v>
      </c>
    </row>
    <row r="10" spans="1:9" ht="14" x14ac:dyDescent="0.3">
      <c r="A10" s="2" t="s">
        <v>16</v>
      </c>
      <c r="B10" s="3">
        <f>(((-1924)+(-946711)+(2243299+4142492)+176305+41827+2443)+6810451)</f>
        <v>12468182</v>
      </c>
      <c r="C10" s="3">
        <f>((0+0+(0+0)+0+0+0)+0)</f>
        <v>0</v>
      </c>
      <c r="D10" s="3">
        <f t="shared" si="0"/>
        <v>0</v>
      </c>
      <c r="E10" s="3">
        <f>((((-1924)+(-946711)+(2243299+4142492)+176305+41827+2443)+6810451)+((0+0+(0+0)+0+0+0)+0)+((0+0+(0+0)+0+0+0)+0))</f>
        <v>12468182</v>
      </c>
      <c r="F10" s="3">
        <f>(((-2479)+(-665683)+((-30471)+(-3751))+10054+16853+2315)+64001)</f>
        <v>-609161</v>
      </c>
      <c r="G10" s="3">
        <f>((1171+(-225962)+((-66670)+161004)+18215+15989+(-780))+2147816)</f>
        <v>2050783</v>
      </c>
      <c r="H10" s="3">
        <f>((((-2479)+(-665683)+((-30471)+(-3751))+10054+16853+2315)+64001)+((1171+(-225962)+((-66670)+161004)+18215+15989+(-780))+2147816))</f>
        <v>1441622</v>
      </c>
      <c r="I10" s="3">
        <f>(((((-1924)+(-946711)+(2243299+4142492)+176305+41827+2443)+6810451)+((0+0+(0+0)+0+0+0)+0)+((0+0+(0+0)+0+0+0)+0))-((((-2479)+(-665683)+((-30471)+(-3751))+10054+16853+2315)+64001)+((1171+(-225962)+((-66670)+161004)+18215+15989+(-780))+2147816)))</f>
        <v>11026560</v>
      </c>
    </row>
    <row r="11" spans="1:9" ht="14" x14ac:dyDescent="0.3">
      <c r="A11" s="2" t="s">
        <v>17</v>
      </c>
      <c r="B11" s="3">
        <f>((0+(-2889)+(397827+706465)+3463+10835+1497)+0)</f>
        <v>1117198</v>
      </c>
      <c r="C11" s="3">
        <f>((0+(-473)+(0+0)+0+(-4963)+0)+0)</f>
        <v>-5436</v>
      </c>
      <c r="D11" s="3">
        <f t="shared" si="0"/>
        <v>0</v>
      </c>
      <c r="E11" s="3">
        <f>(((0+(-2889)+(397827+706465)+3463+10835+1497)+0)+((0+(-473)+(0+0)+0+(-4963)+0)+0)+((0+0+(0+0)+0+0+0)+0))</f>
        <v>1111762</v>
      </c>
      <c r="F11" s="3">
        <f>((0+(-1295)+(6875+17070)+0+0+0)+0)</f>
        <v>22650</v>
      </c>
      <c r="G11" s="3">
        <f>((0+0+(0+0)+0+0+0)+0)</f>
        <v>0</v>
      </c>
      <c r="H11" s="3">
        <f>(((0+(-1295)+(6875+17070)+0+0+0)+0)+((0+0+(0+0)+0+0+0)+0))</f>
        <v>22650</v>
      </c>
      <c r="I11" s="3">
        <f>((((0+(-2889)+(397827+706465)+3463+10835+1497)+0)+((0+(-473)+(0+0)+0+(-4963)+0)+0)+((0+0+(0+0)+0+0+0)+0))-(((0+(-1295)+(6875+17070)+0+0+0)+0)+((0+0+(0+0)+0+0+0)+0)))</f>
        <v>1089112</v>
      </c>
    </row>
    <row r="12" spans="1:9" ht="14" x14ac:dyDescent="0.3">
      <c r="A12" s="2" t="s">
        <v>18</v>
      </c>
      <c r="B12" s="3">
        <f>((1884+(-205)+(264852+18466)+(-3100)+(-66448)+362)+1010079)</f>
        <v>1225890</v>
      </c>
      <c r="C12" s="3">
        <f>((0+10083+(0+0)+0+783+0)+0)</f>
        <v>10866</v>
      </c>
      <c r="D12" s="3">
        <f t="shared" si="0"/>
        <v>0</v>
      </c>
      <c r="E12" s="3">
        <f>(((1884+(-205)+(264852+18466)+(-3100)+(-66448)+362)+1010079)+((0+10083+(0+0)+0+783+0)+0)+((0+0+(0+0)+0+0+0)+0))</f>
        <v>1236756</v>
      </c>
      <c r="F12" s="3">
        <f>((0+(-2765)+(0+0)+0+(-3515)+0)+0)</f>
        <v>-6280</v>
      </c>
      <c r="G12" s="3">
        <f>((1418+10712+(996+0)+(-13)+(-42689)+(-142))+3980)</f>
        <v>-25738</v>
      </c>
      <c r="H12" s="3">
        <f>(((0+(-2765)+(0+0)+0+(-3515)+0)+0)+((1418+10712+(996+0)+(-13)+(-42689)+(-142))+3980))</f>
        <v>-32018</v>
      </c>
      <c r="I12" s="3">
        <f>((((1884+(-205)+(264852+18466)+(-3100)+(-66448)+362)+1010079)+((0+10083+(0+0)+0+783+0)+0)+((0+0+(0+0)+0+0+0)+0))-(((0+(-2765)+(0+0)+0+(-3515)+0)+0)+((1418+10712+(996+0)+(-13)+(-42689)+(-142))+3980)))</f>
        <v>1268774</v>
      </c>
    </row>
    <row r="13" spans="1:9" ht="14" x14ac:dyDescent="0.3">
      <c r="A13" s="2" t="s">
        <v>19</v>
      </c>
      <c r="B13" s="3">
        <f>((65641+175243+(1932236+2798819)+(-1647375)+1019406+29530)+1031555)</f>
        <v>5405055</v>
      </c>
      <c r="C13" s="3">
        <f>((0+22570+(0+0)+0+512+0)+11109)</f>
        <v>34191</v>
      </c>
      <c r="D13" s="3">
        <f t="shared" si="0"/>
        <v>0</v>
      </c>
      <c r="E13" s="3">
        <f>(((65641+175243+(1932236+2798819)+(-1647375)+1019406+29530)+1031555)+((0+22570+(0+0)+0+512+0)+11109)+((0+0+(0+0)+0+0+0)+0))</f>
        <v>5439246</v>
      </c>
      <c r="F13" s="3">
        <f>((0+20926+(0+0)+0+30405+0)+0)</f>
        <v>51331</v>
      </c>
      <c r="G13" s="3">
        <f>((55250+156825+(820737+1149943)+(-1621375)+993229+16463)+758307)</f>
        <v>2329379</v>
      </c>
      <c r="H13" s="3">
        <f>(((0+20926+(0+0)+0+30405+0)+0)+((55250+156825+(820737+1149943)+(-1621375)+993229+16463)+758307))</f>
        <v>2380710</v>
      </c>
      <c r="I13" s="3">
        <f>((((65641+175243+(1932236+2798819)+(-1647375)+1019406+29530)+1031555)+((0+22570+(0+0)+0+512+0)+11109)+((0+0+(0+0)+0+0+0)+0))-(((0+20926+(0+0)+0+30405+0)+0)+((55250+156825+(820737+1149943)+(-1621375)+993229+16463)+758307)))</f>
        <v>3058536</v>
      </c>
    </row>
    <row r="14" spans="1:9" ht="14" x14ac:dyDescent="0.3">
      <c r="A14" s="2" t="s">
        <v>20</v>
      </c>
      <c r="B14" s="3">
        <f>(((-9659)+730586+(133864+500)+21183+(-120499)+96395)+877567)</f>
        <v>1729937</v>
      </c>
      <c r="C14" s="3">
        <f>((117+16605+(0+0)+0+(-1018)+8401)+0)</f>
        <v>24105</v>
      </c>
      <c r="D14" s="3">
        <f>((0+0+(0+0)+0+0+(-962))+0)</f>
        <v>-962</v>
      </c>
      <c r="E14" s="3">
        <f>((((-9659)+730586+(133864+500)+21183+(-120499)+96395)+877567)+((117+16605+(0+0)+0+(-1018)+8401)+0)+((0+0+(0+0)+0+0+(-962))+0))</f>
        <v>1753080</v>
      </c>
      <c r="F14" s="3">
        <f>((0+805+(0+0)+0+7+0)+0)</f>
        <v>812</v>
      </c>
      <c r="G14" s="3">
        <f>(((-55270)+833077+(14991+0)+9595+(-106068)+202498)+674305)</f>
        <v>1573128</v>
      </c>
      <c r="H14" s="3">
        <f>(((0+805+(0+0)+0+7+0)+0)+(((-55270)+833077+(14991+0)+9595+(-106068)+202498)+674305))</f>
        <v>1573940</v>
      </c>
      <c r="I14" s="3">
        <f>(((((-9659)+730586+(133864+500)+21183+(-120499)+96395)+877567)+((117+16605+(0+0)+0+(-1018)+8401)+0)+((0+0+(0+0)+0+0+(-962))+0))-(((0+805+(0+0)+0+7+0)+0)+(((-55270)+833077+(14991+0)+9595+(-106068)+202498)+674305)))</f>
        <v>179140</v>
      </c>
    </row>
    <row r="15" spans="1:9" ht="14" x14ac:dyDescent="0.3">
      <c r="A15" s="2" t="s">
        <v>21</v>
      </c>
      <c r="B15" s="3">
        <f>((0+0+(0+0)+0+0+0)+2338458)</f>
        <v>2338458</v>
      </c>
      <c r="C15" s="3">
        <f>((0+0+(0+0)+0+0+0)+0)</f>
        <v>0</v>
      </c>
      <c r="D15" s="3">
        <f>((0+0+(0+0)+0+0+0)+0)</f>
        <v>0</v>
      </c>
      <c r="E15" s="3">
        <f>(((0+0+(0+0)+0+0+0)+2338458)+((0+0+(0+0)+0+0+0)+0)+((0+0+(0+0)+0+0+0)+0))</f>
        <v>2338458</v>
      </c>
      <c r="F15" s="3">
        <f>((0+0+(0+0)+0+0+0)+0)</f>
        <v>0</v>
      </c>
      <c r="G15" s="3">
        <f>((0+0+(0+0)+0+0+0)+40986)</f>
        <v>40986</v>
      </c>
      <c r="H15" s="3">
        <f>(((0+0+(0+0)+0+0+0)+0)+((0+0+(0+0)+0+0+0)+40986))</f>
        <v>40986</v>
      </c>
      <c r="I15" s="3">
        <f>((((0+0+(0+0)+0+0+0)+2338458)+((0+0+(0+0)+0+0+0)+0)+((0+0+(0+0)+0+0+0)+0))-(((0+0+(0+0)+0+0+0)+0)+((0+0+(0+0)+0+0+0)+40986)))</f>
        <v>2297472</v>
      </c>
    </row>
    <row r="16" spans="1:9" ht="14" x14ac:dyDescent="0.3">
      <c r="A16" s="2" t="s">
        <v>22</v>
      </c>
      <c r="B16" s="3">
        <f>((5278184+3758775+(8747644+4600217)+149238+(-350688)+853456)+3218000)</f>
        <v>26254826</v>
      </c>
      <c r="C16" s="3">
        <f>((0+1029+(0+0)+0+0+0)+0)</f>
        <v>1029</v>
      </c>
      <c r="D16" s="3">
        <f>((0+0+(0+0)+0+0+0)+0)</f>
        <v>0</v>
      </c>
      <c r="E16" s="3">
        <f>(((5278184+3758775+(8747644+4600217)+149238+(-350688)+853456)+3218000)+((0+1029+(0+0)+0+0+0)+0)+((0+0+(0+0)+0+0+0)+0))</f>
        <v>26255855</v>
      </c>
      <c r="F16" s="3">
        <f>((601+55335+(0+0)+0+3832+73266)+0)</f>
        <v>133034</v>
      </c>
      <c r="G16" s="3">
        <f>((5296340+3551823+(168356+141080)+125009+(-347674)+124840)+1354580)</f>
        <v>10414354</v>
      </c>
      <c r="H16" s="3">
        <f>(((601+55335+(0+0)+0+3832+73266)+0)+((5296340+3551823+(168356+141080)+125009+(-347674)+124840)+1354580))</f>
        <v>10547388</v>
      </c>
      <c r="I16" s="3">
        <f>((((5278184+3758775+(8747644+4600217)+149238+(-350688)+853456)+3218000)+((0+1029+(0+0)+0+0+0)+0)+((0+0+(0+0)+0+0+0)+0))-(((601+55335+(0+0)+0+3832+73266)+0)+((5296340+3551823+(168356+141080)+125009+(-347674)+124840)+1354580)))</f>
        <v>15708467</v>
      </c>
    </row>
    <row r="17" spans="1:9" ht="14" x14ac:dyDescent="0.3">
      <c r="A17" s="2" t="s">
        <v>23</v>
      </c>
      <c r="B17" s="3">
        <f>((145769+1082111+(145555+7977)+(-19059)+(-1796149)+2257258)+1981161)</f>
        <v>3804623</v>
      </c>
      <c r="C17" s="3">
        <f>(((-8519)+47510+(0+0)+0+1248461+(-13))+1)</f>
        <v>1287440</v>
      </c>
      <c r="D17" s="3">
        <f>((0+0+(0+0)+0+0+0)+0)</f>
        <v>0</v>
      </c>
      <c r="E17" s="3">
        <f>(((145769+1082111+(145555+7977)+(-19059)+(-1796149)+2257258)+1981161)+(((-8519)+47510+(0+0)+0+1248461+(-13))+1)+((0+0+(0+0)+0+0+0)+0))</f>
        <v>5092063</v>
      </c>
      <c r="F17" s="3">
        <f>((0+0+(0+0)+0+0+2089674)+0)</f>
        <v>2089674</v>
      </c>
      <c r="G17" s="3">
        <f>((121422+1106263+(41314+(-1117))+(-26059)+(-753641)+159781)+124485)</f>
        <v>772448</v>
      </c>
      <c r="H17" s="3">
        <f>(((0+0+(0+0)+0+0+2089674)+0)+((121422+1106263+(41314+(-1117))+(-26059)+(-753641)+159781)+124485))</f>
        <v>2862122</v>
      </c>
      <c r="I17" s="3">
        <f>((((145769+1082111+(145555+7977)+(-19059)+(-1796149)+2257258)+1981161)+(((-8519)+47510+(0+0)+0+1248461+(-13))+1)+((0+0+(0+0)+0+0+0)+0))-(((0+0+(0+0)+0+0+2089674)+0)+((121422+1106263+(41314+(-1117))+(-26059)+(-753641)+159781)+124485)))</f>
        <v>2229941</v>
      </c>
    </row>
    <row r="18" spans="1:9" ht="14" x14ac:dyDescent="0.3">
      <c r="A18" s="2" t="s">
        <v>24</v>
      </c>
      <c r="B18" s="3">
        <f>(((-15786)+1303740+(3690810+2135157)+38581+416216+(-8947))+1699268)</f>
        <v>9259039</v>
      </c>
      <c r="C18" s="3">
        <f>((0+6532+(0+0)+0+0+0)+0)</f>
        <v>6532</v>
      </c>
      <c r="D18" s="3">
        <f>((0+0+(0+0)+0+0+0)+0)</f>
        <v>0</v>
      </c>
      <c r="E18" s="3">
        <f>((((-15786)+1303740+(3690810+2135157)+38581+416216+(-8947))+1699268)+((0+6532+(0+0)+0+0+0)+0)+((0+0+(0+0)+0+0+0)+0))</f>
        <v>9265571</v>
      </c>
      <c r="F18" s="3">
        <f>((0+50+(0+0)+0+128+0)+0)</f>
        <v>178</v>
      </c>
      <c r="G18" s="3">
        <f>((7224+1270104+(1427038+850896)+6761+427613+9095)+820440)</f>
        <v>4819171</v>
      </c>
      <c r="H18" s="3">
        <f>(((0+50+(0+0)+0+128+0)+0)+((7224+1270104+(1427038+850896)+6761+427613+9095)+820440))</f>
        <v>4819349</v>
      </c>
      <c r="I18" s="3">
        <f>(((((-15786)+1303740+(3690810+2135157)+38581+416216+(-8947))+1699268)+((0+6532+(0+0)+0+0+0)+0)+((0+0+(0+0)+0+0+0)+0))-(((0+50+(0+0)+0+128+0)+0)+((7224+1270104+(1427038+850896)+6761+427613+9095)+820440)))</f>
        <v>4446222</v>
      </c>
    </row>
    <row r="19" spans="1:9" ht="14" x14ac:dyDescent="0.3">
      <c r="A19" s="2" t="s">
        <v>25</v>
      </c>
      <c r="B19" s="3">
        <f>(((-205201)+9697505+(0+0)+125789+934594+418023)+32280582)</f>
        <v>43251292</v>
      </c>
      <c r="C19" s="3">
        <f>((0+0+(0+0)+0+0+0)+0)</f>
        <v>0</v>
      </c>
      <c r="D19" s="3">
        <f>((0+0+(0+0)+0+0+0)+0)</f>
        <v>0</v>
      </c>
      <c r="E19" s="3">
        <f>((((-205201)+9697505+(0+0)+125789+934594+418023)+32280582)+((0+0+(0+0)+0+0+0)+0)+((0+0+(0+0)+0+0+0)+0))</f>
        <v>43251292</v>
      </c>
      <c r="F19" s="3">
        <f>((0+678902+(0+0)+0+44698+5440)+0)</f>
        <v>729040</v>
      </c>
      <c r="G19" s="3">
        <f>(((-168489)+4927035+(0+0)+14291+440640+53835)+57827)</f>
        <v>5325139</v>
      </c>
      <c r="H19" s="3">
        <f>(((0+678902+(0+0)+0+44698+5440)+0)+(((-168489)+4927035+(0+0)+14291+440640+53835)+57827))</f>
        <v>6054179</v>
      </c>
      <c r="I19" s="3">
        <f>(((((-205201)+9697505+(0+0)+125789+934594+418023)+32280582)+((0+0+(0+0)+0+0+0)+0)+((0+0+(0+0)+0+0+0)+0))-(((0+678902+(0+0)+0+44698+5440)+0)+(((-168489)+4927035+(0+0)+14291+440640+53835)+57827)))</f>
        <v>37197113</v>
      </c>
    </row>
    <row r="20" spans="1:9" ht="14" x14ac:dyDescent="0.3">
      <c r="A20" s="2" t="s">
        <v>26</v>
      </c>
      <c r="B20" s="3">
        <f>((1531831+420085+(4060938+1951881)+(-94948)+(-1160125)+555615)+2705390)</f>
        <v>9970667</v>
      </c>
      <c r="C20" s="3">
        <f>((95141+(-5751478)+(0+0)+0+0+0)+0)</f>
        <v>-5656337</v>
      </c>
      <c r="D20" s="3">
        <f>((0+0+(0+0)+0+0+0)+0)</f>
        <v>0</v>
      </c>
      <c r="E20" s="3">
        <f>(((1531831+420085+(4060938+1951881)+(-94948)+(-1160125)+555615)+2705390)+((95141+(-5751478)+(0+0)+0+0+0)+0)+((0+0+(0+0)+0+0+0)+0))</f>
        <v>4314330</v>
      </c>
      <c r="F20" s="3">
        <f>(((-1488)+(-33288)+(0+0)+0+4798+0)+0)</f>
        <v>-29978</v>
      </c>
      <c r="G20" s="3">
        <f>((1502161+(-4586317)+(0+0)+11411+(-632568)+(-193))+123650)</f>
        <v>-3581856</v>
      </c>
      <c r="H20" s="3">
        <f>((((-1488)+(-33288)+(0+0)+0+4798+0)+0)+((1502161+(-4586317)+(0+0)+11411+(-632568)+(-193))+123650))</f>
        <v>-3611834</v>
      </c>
      <c r="I20" s="3">
        <f>((((1531831+420085+(4060938+1951881)+(-94948)+(-1160125)+555615)+2705390)+((95141+(-5751478)+(0+0)+0+0+0)+0)+((0+0+(0+0)+0+0+0)+0))-((((-1488)+(-33288)+(0+0)+0+4798+0)+0)+((1502161+(-4586317)+(0+0)+11411+(-632568)+(-193))+123650)))</f>
        <v>7926164</v>
      </c>
    </row>
    <row r="21" spans="1:9" ht="14" x14ac:dyDescent="0.3">
      <c r="A21" s="5" t="s">
        <v>27</v>
      </c>
      <c r="B21" s="5"/>
      <c r="C21" s="5"/>
      <c r="D21" s="5"/>
      <c r="E21" s="5"/>
      <c r="F21" s="5"/>
      <c r="G21" s="5"/>
      <c r="H21" s="5"/>
      <c r="I21" s="5"/>
    </row>
    <row r="22" spans="1:9" ht="14" x14ac:dyDescent="0.3">
      <c r="A22" s="4" t="s">
        <v>1</v>
      </c>
      <c r="B22" s="1" t="s">
        <v>2</v>
      </c>
      <c r="C22" s="1" t="s">
        <v>3</v>
      </c>
      <c r="D22" s="1" t="s">
        <v>4</v>
      </c>
      <c r="E22" s="1" t="s">
        <v>5</v>
      </c>
      <c r="F22" s="1" t="s">
        <v>6</v>
      </c>
      <c r="G22" s="1" t="s">
        <v>7</v>
      </c>
      <c r="H22" s="1" t="s">
        <v>8</v>
      </c>
      <c r="I22" s="1" t="s">
        <v>9</v>
      </c>
    </row>
    <row r="23" spans="1:9" ht="14" x14ac:dyDescent="0.3">
      <c r="A23" s="4"/>
      <c r="B23" s="1">
        <v>2023</v>
      </c>
      <c r="C23" s="1">
        <v>2023</v>
      </c>
      <c r="D23" s="1">
        <v>2023</v>
      </c>
      <c r="E23" s="1">
        <v>2023</v>
      </c>
      <c r="F23" s="1">
        <v>2023</v>
      </c>
      <c r="G23" s="1">
        <v>2023</v>
      </c>
      <c r="H23" s="1">
        <v>2023</v>
      </c>
      <c r="I23" s="1">
        <v>2023</v>
      </c>
    </row>
    <row r="24" spans="1:9" ht="14" x14ac:dyDescent="0.3">
      <c r="A24" s="2" t="s">
        <v>10</v>
      </c>
      <c r="B24" s="3">
        <f>((-68659)+14110097+(2213444+3213433)+156582+5286041+(-5895713))</f>
        <v>19015225</v>
      </c>
      <c r="C24" s="3">
        <f>(0+0+(0+0)+0+0+0)</f>
        <v>0</v>
      </c>
      <c r="D24" s="3">
        <f>(0+0+(0+0)+0+0+0)</f>
        <v>0</v>
      </c>
      <c r="E24" s="3">
        <f>(((-68659)+14110097+(2213444+3213433)+156582+5286041+(-5895713))+(0+0+(0+0)+0+0+0)+(0+0+(0+0)+0+0+0))</f>
        <v>19015225</v>
      </c>
      <c r="F24" s="3">
        <f>(0+0+(0+0)+0+0+0)</f>
        <v>0</v>
      </c>
      <c r="G24" s="3">
        <f>((-69941)+13947201+(570468+372389)+80339+512894+(-1260296))</f>
        <v>14153054</v>
      </c>
      <c r="H24" s="3">
        <f>((0+0+(0+0)+0+0+0)+((-69941)+13947201+(570468+372389)+80339+512894+(-1260296)))</f>
        <v>14153054</v>
      </c>
      <c r="I24" s="3">
        <f>((((-68659)+14110097+(2213444+3213433)+156582+5286041+(-5895713))+(0+0+(0+0)+0+0+0)+(0+0+(0+0)+0+0+0))-((0+0+(0+0)+0+0+0)+((-69941)+13947201+(570468+372389)+80339+512894+(-1260296))))</f>
        <v>4862171</v>
      </c>
    </row>
    <row r="25" spans="1:9" ht="14" x14ac:dyDescent="0.3">
      <c r="A25" s="2" t="s">
        <v>11</v>
      </c>
      <c r="B25" s="3">
        <f>(0+0+(0+0)+0+0+792985)</f>
        <v>792985</v>
      </c>
      <c r="C25" s="3">
        <f>(0+0+(0+0)+0+0+0)</f>
        <v>0</v>
      </c>
      <c r="D25" s="3">
        <f>(0+0+(0+0)+0+0+0)</f>
        <v>0</v>
      </c>
      <c r="E25" s="3">
        <f>((0+0+(0+0)+0+0+792985)+(0+0+(0+0)+0+0+0)+(0+0+(0+0)+0+0+0))</f>
        <v>792985</v>
      </c>
      <c r="F25" s="3">
        <f>(0+0+(0+0)+0+0+0)</f>
        <v>0</v>
      </c>
      <c r="G25" s="3">
        <f>(0+0+(0+0)+0+0+(-838))</f>
        <v>-838</v>
      </c>
      <c r="H25" s="3">
        <f>((0+0+(0+0)+0+0+0)+(0+0+(0+0)+0+0+(-838)))</f>
        <v>-838</v>
      </c>
      <c r="I25" s="3">
        <f>(((0+0+(0+0)+0+0+792985)+(0+0+(0+0)+0+0+0)+(0+0+(0+0)+0+0+0))-((0+0+(0+0)+0+0+0)+(0+0+(0+0)+0+0+(-838))))</f>
        <v>793823</v>
      </c>
    </row>
    <row r="26" spans="1:9" ht="14" x14ac:dyDescent="0.3">
      <c r="A26" s="2" t="s">
        <v>12</v>
      </c>
      <c r="B26" s="3">
        <f>((-122522)+(-2827687)+(8718056+4652623)+145485+(-3715235)+332252)</f>
        <v>7182972</v>
      </c>
      <c r="C26" s="3">
        <f>((-3027)+40501+(0+0)+0+43377+0)</f>
        <v>80851</v>
      </c>
      <c r="D26" s="3">
        <f t="shared" ref="D26:D33" si="1">(0+0+(0+0)+0+0+0)</f>
        <v>0</v>
      </c>
      <c r="E26" s="3">
        <f>(((-122522)+(-2827687)+(8718056+4652623)+145485+(-3715235)+332252)+((-3027)+40501+(0+0)+0+43377+0)+(0+0+(0+0)+0+0+0))</f>
        <v>7263823</v>
      </c>
      <c r="F26" s="3">
        <f>(185749+72164+(0+0)+0+2500+0)</f>
        <v>260413</v>
      </c>
      <c r="G26" s="3">
        <f>((-281044)+(-2822811)+(1099853+439642)+124685+(-3645394)+(-358608))</f>
        <v>-5443677</v>
      </c>
      <c r="H26" s="3">
        <f>((185749+72164+(0+0)+0+2500+0)+((-281044)+(-2822811)+(1099853+439642)+124685+(-3645394)+(-358608)))</f>
        <v>-5183264</v>
      </c>
      <c r="I26" s="3">
        <f>((((-122522)+(-2827687)+(8718056+4652623)+145485+(-3715235)+332252)+((-3027)+40501+(0+0)+0+43377+0)+(0+0+(0+0)+0+0+0))-((185749+72164+(0+0)+0+2500+0)+((-281044)+(-2822811)+(1099853+439642)+124685+(-3645394)+(-358608))))</f>
        <v>12447087</v>
      </c>
    </row>
    <row r="27" spans="1:9" ht="14" x14ac:dyDescent="0.3">
      <c r="A27" s="2" t="s">
        <v>13</v>
      </c>
      <c r="B27" s="3">
        <f>(222270+(-88502)+(768857+3902496)+86734+303105+446435)</f>
        <v>5641395</v>
      </c>
      <c r="C27" s="3">
        <f>(42721+(-21200)+(0+0)+0+7875+0)</f>
        <v>29396</v>
      </c>
      <c r="D27" s="3">
        <f t="shared" si="1"/>
        <v>0</v>
      </c>
      <c r="E27" s="3">
        <f>((222270+(-88502)+(768857+3902496)+86734+303105+446435)+(42721+(-21200)+(0+0)+0+7875+0)+(0+0+(0+0)+0+0+0))</f>
        <v>5670791</v>
      </c>
      <c r="F27" s="3">
        <f>(0+(-84934)+(0+0)+(-1000)+(-2199)+0)</f>
        <v>-88133</v>
      </c>
      <c r="G27" s="3">
        <f>(0+13801+(0+248411)+1000+(-67471)+2772)</f>
        <v>198513</v>
      </c>
      <c r="H27" s="3">
        <f>((0+(-84934)+(0+0)+(-1000)+(-2199)+0)+(0+13801+(0+248411)+1000+(-67471)+2772))</f>
        <v>110380</v>
      </c>
      <c r="I27" s="3">
        <f>(((222270+(-88502)+(768857+3902496)+86734+303105+446435)+(42721+(-21200)+(0+0)+0+7875+0)+(0+0+(0+0)+0+0+0))-((0+(-84934)+(0+0)+(-1000)+(-2199)+0)+(0+13801+(0+248411)+1000+(-67471)+2772)))</f>
        <v>5560411</v>
      </c>
    </row>
    <row r="28" spans="1:9" ht="14" x14ac:dyDescent="0.3">
      <c r="A28" s="2" t="s">
        <v>14</v>
      </c>
      <c r="B28" s="3">
        <f>((-1105)+(-1003338)+(1260579+(-3032553))+(-65283)+(-341244)+(-1401))</f>
        <v>-3184345</v>
      </c>
      <c r="C28" s="3">
        <f>(0+0+(0+0)+0+0+0)</f>
        <v>0</v>
      </c>
      <c r="D28" s="3">
        <f t="shared" si="1"/>
        <v>0</v>
      </c>
      <c r="E28" s="3">
        <f>(((-1105)+(-1003338)+(1260579+(-3032553))+(-65283)+(-341244)+(-1401))+(0+0+(0+0)+0+0+0)+(0+0+(0+0)+0+0+0))</f>
        <v>-3184345</v>
      </c>
      <c r="F28" s="3">
        <f>(0+(-132164)+((-443)+443)+0+0+0)</f>
        <v>-132164</v>
      </c>
      <c r="G28" s="3">
        <f>((-773)+(-807175)+((-230802)+152499)+(-6393)+(-258658)+410)</f>
        <v>-1150892</v>
      </c>
      <c r="H28" s="3">
        <f>((0+(-132164)+((-443)+443)+0+0+0)+((-773)+(-807175)+((-230802)+152499)+(-6393)+(-258658)+410))</f>
        <v>-1283056</v>
      </c>
      <c r="I28" s="3">
        <f>((((-1105)+(-1003338)+(1260579+(-3032553))+(-65283)+(-341244)+(-1401))+(0+0+(0+0)+0+0+0)+(0+0+(0+0)+0+0+0))-((0+(-132164)+((-443)+443)+0+0+0)+((-773)+(-807175)+((-230802)+152499)+(-6393)+(-258658)+410)))</f>
        <v>-1901289</v>
      </c>
    </row>
    <row r="29" spans="1:9" ht="14" x14ac:dyDescent="0.3">
      <c r="A29" s="2" t="s">
        <v>15</v>
      </c>
      <c r="B29" s="3">
        <f>(2455433+4440657+(5948849+7610496)+(-7034)+18371857+597710)</f>
        <v>39417968</v>
      </c>
      <c r="C29" s="3">
        <f>(0+0+(0+0)+0+0+0)</f>
        <v>0</v>
      </c>
      <c r="D29" s="3">
        <f t="shared" si="1"/>
        <v>0</v>
      </c>
      <c r="E29" s="3">
        <f>((2455433+4440657+(5948849+7610496)+(-7034)+18371857+597710)+(0+0+(0+0)+0+0+0)+(0+0+(0+0)+0+0+0))</f>
        <v>39417968</v>
      </c>
      <c r="F29" s="3">
        <f>(0+185976+(0+0)+0+0+15500)</f>
        <v>201476</v>
      </c>
      <c r="G29" s="3">
        <f>(2347902+4170912+(215751+809175)+(-60311)+18054015+304308)</f>
        <v>25841752</v>
      </c>
      <c r="H29" s="3">
        <f>((0+185976+(0+0)+0+0+15500)+(2347902+4170912+(215751+809175)+(-60311)+18054015+304308))</f>
        <v>26043228</v>
      </c>
      <c r="I29" s="3">
        <f>(((2455433+4440657+(5948849+7610496)+(-7034)+18371857+597710)+(0+0+(0+0)+0+0+0)+(0+0+(0+0)+0+0+0))-((0+185976+(0+0)+0+0+15500)+(2347902+4170912+(215751+809175)+(-60311)+18054015+304308)))</f>
        <v>13374740</v>
      </c>
    </row>
    <row r="30" spans="1:9" ht="14" x14ac:dyDescent="0.3">
      <c r="A30" s="2" t="s">
        <v>16</v>
      </c>
      <c r="B30" s="3">
        <f>((-1924)+(-946711)+(2243299+4142492)+176305+41827+2443)</f>
        <v>5657731</v>
      </c>
      <c r="C30" s="3">
        <f>(0+0+(0+0)+0+0+0)</f>
        <v>0</v>
      </c>
      <c r="D30" s="3">
        <f t="shared" si="1"/>
        <v>0</v>
      </c>
      <c r="E30" s="3">
        <f>(((-1924)+(-946711)+(2243299+4142492)+176305+41827+2443)+(0+0+(0+0)+0+0+0)+(0+0+(0+0)+0+0+0))</f>
        <v>5657731</v>
      </c>
      <c r="F30" s="3">
        <f>((-2479)+(-665683)+((-30471)+(-3751))+10054+16853+2315)</f>
        <v>-673162</v>
      </c>
      <c r="G30" s="3">
        <f>(1171+(-225962)+((-66670)+161004)+18215+15989+(-780))</f>
        <v>-97033</v>
      </c>
      <c r="H30" s="3">
        <f>(((-2479)+(-665683)+((-30471)+(-3751))+10054+16853+2315)+(1171+(-225962)+((-66670)+161004)+18215+15989+(-780)))</f>
        <v>-770195</v>
      </c>
      <c r="I30" s="3">
        <f>((((-1924)+(-946711)+(2243299+4142492)+176305+41827+2443)+(0+0+(0+0)+0+0+0)+(0+0+(0+0)+0+0+0))-(((-2479)+(-665683)+((-30471)+(-3751))+10054+16853+2315)+(1171+(-225962)+((-66670)+161004)+18215+15989+(-780))))</f>
        <v>6427926</v>
      </c>
    </row>
    <row r="31" spans="1:9" ht="14" x14ac:dyDescent="0.3">
      <c r="A31" s="2" t="s">
        <v>17</v>
      </c>
      <c r="B31" s="3">
        <f>(0+(-2889)+(397827+706465)+3463+10835+1497)</f>
        <v>1117198</v>
      </c>
      <c r="C31" s="3">
        <f>(0+(-473)+(0+0)+0+(-4963)+0)</f>
        <v>-5436</v>
      </c>
      <c r="D31" s="3">
        <f t="shared" si="1"/>
        <v>0</v>
      </c>
      <c r="E31" s="3">
        <f>((0+(-2889)+(397827+706465)+3463+10835+1497)+(0+(-473)+(0+0)+0+(-4963)+0)+(0+0+(0+0)+0+0+0))</f>
        <v>1111762</v>
      </c>
      <c r="F31" s="3">
        <f>(0+(-1295)+(6875+17070)+0+0+0)</f>
        <v>22650</v>
      </c>
      <c r="G31" s="3">
        <f>(0+0+(0+0)+0+0+0)</f>
        <v>0</v>
      </c>
      <c r="H31" s="3">
        <f>((0+(-1295)+(6875+17070)+0+0+0)+(0+0+(0+0)+0+0+0))</f>
        <v>22650</v>
      </c>
      <c r="I31" s="3">
        <f>(((0+(-2889)+(397827+706465)+3463+10835+1497)+(0+(-473)+(0+0)+0+(-4963)+0)+(0+0+(0+0)+0+0+0))-((0+(-1295)+(6875+17070)+0+0+0)+(0+0+(0+0)+0+0+0)))</f>
        <v>1089112</v>
      </c>
    </row>
    <row r="32" spans="1:9" ht="14" x14ac:dyDescent="0.3">
      <c r="A32" s="2" t="s">
        <v>18</v>
      </c>
      <c r="B32" s="3">
        <f>(1884+(-205)+(264852+18466)+(-3100)+(-66448)+362)</f>
        <v>215811</v>
      </c>
      <c r="C32" s="3">
        <f>(0+10083+(0+0)+0+783+0)</f>
        <v>10866</v>
      </c>
      <c r="D32" s="3">
        <f t="shared" si="1"/>
        <v>0</v>
      </c>
      <c r="E32" s="3">
        <f>((1884+(-205)+(264852+18466)+(-3100)+(-66448)+362)+(0+10083+(0+0)+0+783+0)+(0+0+(0+0)+0+0+0))</f>
        <v>226677</v>
      </c>
      <c r="F32" s="3">
        <f>(0+(-2765)+(0+0)+0+(-3515)+0)</f>
        <v>-6280</v>
      </c>
      <c r="G32" s="3">
        <f>(1418+10712+(996+0)+(-13)+(-42689)+(-142))</f>
        <v>-29718</v>
      </c>
      <c r="H32" s="3">
        <f>((0+(-2765)+(0+0)+0+(-3515)+0)+(1418+10712+(996+0)+(-13)+(-42689)+(-142)))</f>
        <v>-35998</v>
      </c>
      <c r="I32" s="3">
        <f>(((1884+(-205)+(264852+18466)+(-3100)+(-66448)+362)+(0+10083+(0+0)+0+783+0)+(0+0+(0+0)+0+0+0))-((0+(-2765)+(0+0)+0+(-3515)+0)+(1418+10712+(996+0)+(-13)+(-42689)+(-142))))</f>
        <v>262675</v>
      </c>
    </row>
    <row r="33" spans="1:9" ht="14" x14ac:dyDescent="0.3">
      <c r="A33" s="2" t="s">
        <v>19</v>
      </c>
      <c r="B33" s="3">
        <f>(65641+175243+(1932236+2798819)+(-1647375)+1019406+29530)</f>
        <v>4373500</v>
      </c>
      <c r="C33" s="3">
        <f>(0+22570+(0+0)+0+512+0)</f>
        <v>23082</v>
      </c>
      <c r="D33" s="3">
        <f t="shared" si="1"/>
        <v>0</v>
      </c>
      <c r="E33" s="3">
        <f>((65641+175243+(1932236+2798819)+(-1647375)+1019406+29530)+(0+22570+(0+0)+0+512+0)+(0+0+(0+0)+0+0+0))</f>
        <v>4396582</v>
      </c>
      <c r="F33" s="3">
        <f>(0+20926+(0+0)+0+30405+0)</f>
        <v>51331</v>
      </c>
      <c r="G33" s="3">
        <f>(55250+156825+(820737+1149943)+(-1621375)+993229+16463)</f>
        <v>1571072</v>
      </c>
      <c r="H33" s="3">
        <f>((0+20926+(0+0)+0+30405+0)+(55250+156825+(820737+1149943)+(-1621375)+993229+16463))</f>
        <v>1622403</v>
      </c>
      <c r="I33" s="3">
        <f>(((65641+175243+(1932236+2798819)+(-1647375)+1019406+29530)+(0+22570+(0+0)+0+512+0)+(0+0+(0+0)+0+0+0))-((0+20926+(0+0)+0+30405+0)+(55250+156825+(820737+1149943)+(-1621375)+993229+16463)))</f>
        <v>2774179</v>
      </c>
    </row>
    <row r="34" spans="1:9" ht="14" x14ac:dyDescent="0.3">
      <c r="A34" s="2" t="s">
        <v>20</v>
      </c>
      <c r="B34" s="3">
        <f>((-9659)+730586+(133864+500)+21183+(-120499)+96395)</f>
        <v>852370</v>
      </c>
      <c r="C34" s="3">
        <f>(117+16605+(0+0)+0+(-1018)+8401)</f>
        <v>24105</v>
      </c>
      <c r="D34" s="3">
        <f>(0+0+(0+0)+0+0+(-962))</f>
        <v>-962</v>
      </c>
      <c r="E34" s="3">
        <f>(((-9659)+730586+(133864+500)+21183+(-120499)+96395)+(117+16605+(0+0)+0+(-1018)+8401)+(0+0+(0+0)+0+0+(-962)))</f>
        <v>875513</v>
      </c>
      <c r="F34" s="3">
        <f>(0+805+(0+0)+0+7+0)</f>
        <v>812</v>
      </c>
      <c r="G34" s="3">
        <f>((-55270)+833077+(14991+0)+9595+(-106068)+202498)</f>
        <v>898823</v>
      </c>
      <c r="H34" s="3">
        <f>((0+805+(0+0)+0+7+0)+((-55270)+833077+(14991+0)+9595+(-106068)+202498))</f>
        <v>899635</v>
      </c>
      <c r="I34" s="3">
        <f>((((-9659)+730586+(133864+500)+21183+(-120499)+96395)+(117+16605+(0+0)+0+(-1018)+8401)+(0+0+(0+0)+0+0+(-962)))-((0+805+(0+0)+0+7+0)+((-55270)+833077+(14991+0)+9595+(-106068)+202498)))</f>
        <v>-24122</v>
      </c>
    </row>
    <row r="35" spans="1:9" ht="14" x14ac:dyDescent="0.3">
      <c r="A35" s="2" t="s">
        <v>21</v>
      </c>
      <c r="B35" s="3">
        <f>(0+0+(0+0)+0+0+0)</f>
        <v>0</v>
      </c>
      <c r="C35" s="3">
        <f>(0+0+(0+0)+0+0+0)</f>
        <v>0</v>
      </c>
      <c r="D35" s="3">
        <f>(0+0+(0+0)+0+0+0)</f>
        <v>0</v>
      </c>
      <c r="E35" s="3">
        <f>((0+0+(0+0)+0+0+0)+(0+0+(0+0)+0+0+0)+(0+0+(0+0)+0+0+0))</f>
        <v>0</v>
      </c>
      <c r="F35" s="3">
        <f>(0+0+(0+0)+0+0+0)</f>
        <v>0</v>
      </c>
      <c r="G35" s="3">
        <f>(0+0+(0+0)+0+0+0)</f>
        <v>0</v>
      </c>
      <c r="H35" s="3">
        <f>((0+0+(0+0)+0+0+0)+(0+0+(0+0)+0+0+0))</f>
        <v>0</v>
      </c>
      <c r="I35" s="3">
        <f>(((0+0+(0+0)+0+0+0)+(0+0+(0+0)+0+0+0)+(0+0+(0+0)+0+0+0))-((0+0+(0+0)+0+0+0)+(0+0+(0+0)+0+0+0)))</f>
        <v>0</v>
      </c>
    </row>
    <row r="36" spans="1:9" ht="14" x14ac:dyDescent="0.3">
      <c r="A36" s="2" t="s">
        <v>22</v>
      </c>
      <c r="B36" s="3">
        <f>(5278184+3758775+(8747644+4600217)+149238+(-350688)+853456)</f>
        <v>23036826</v>
      </c>
      <c r="C36" s="3">
        <f>(0+1029+(0+0)+0+0+0)</f>
        <v>1029</v>
      </c>
      <c r="D36" s="3">
        <f>(0+0+(0+0)+0+0+0)</f>
        <v>0</v>
      </c>
      <c r="E36" s="3">
        <f>((5278184+3758775+(8747644+4600217)+149238+(-350688)+853456)+(0+1029+(0+0)+0+0+0)+(0+0+(0+0)+0+0+0))</f>
        <v>23037855</v>
      </c>
      <c r="F36" s="3">
        <f>(601+55335+(0+0)+0+3832+73266)</f>
        <v>133034</v>
      </c>
      <c r="G36" s="3">
        <f>(5296340+3551823+(168356+141080)+125009+(-347674)+124840)</f>
        <v>9059774</v>
      </c>
      <c r="H36" s="3">
        <f>((601+55335+(0+0)+0+3832+73266)+(5296340+3551823+(168356+141080)+125009+(-347674)+124840))</f>
        <v>9192808</v>
      </c>
      <c r="I36" s="3">
        <f>(((5278184+3758775+(8747644+4600217)+149238+(-350688)+853456)+(0+1029+(0+0)+0+0+0)+(0+0+(0+0)+0+0+0))-((601+55335+(0+0)+0+3832+73266)+(5296340+3551823+(168356+141080)+125009+(-347674)+124840)))</f>
        <v>13845047</v>
      </c>
    </row>
    <row r="37" spans="1:9" ht="14" x14ac:dyDescent="0.3">
      <c r="A37" s="2" t="s">
        <v>23</v>
      </c>
      <c r="B37" s="3">
        <f>(145769+1082111+(145555+7977)+(-19059)+(-1796149)+2257258)</f>
        <v>1823462</v>
      </c>
      <c r="C37" s="3">
        <f>((-8519)+47510+(0+0)+0+1248461+(-13))</f>
        <v>1287439</v>
      </c>
      <c r="D37" s="3">
        <f>(0+0+(0+0)+0+0+0)</f>
        <v>0</v>
      </c>
      <c r="E37" s="3">
        <f>((145769+1082111+(145555+7977)+(-19059)+(-1796149)+2257258)+((-8519)+47510+(0+0)+0+1248461+(-13))+(0+0+(0+0)+0+0+0))</f>
        <v>3110901</v>
      </c>
      <c r="F37" s="3">
        <f>(0+0+(0+0)+0+0+2089674)</f>
        <v>2089674</v>
      </c>
      <c r="G37" s="3">
        <f>(121422+1106263+(41314+(-1117))+(-26059)+(-753641)+159781)</f>
        <v>647963</v>
      </c>
      <c r="H37" s="3">
        <f>((0+0+(0+0)+0+0+2089674)+(121422+1106263+(41314+(-1117))+(-26059)+(-753641)+159781))</f>
        <v>2737637</v>
      </c>
      <c r="I37" s="3">
        <f>(((145769+1082111+(145555+7977)+(-19059)+(-1796149)+2257258)+((-8519)+47510+(0+0)+0+1248461+(-13))+(0+0+(0+0)+0+0+0))-((0+0+(0+0)+0+0+2089674)+(121422+1106263+(41314+(-1117))+(-26059)+(-753641)+159781)))</f>
        <v>373264</v>
      </c>
    </row>
    <row r="38" spans="1:9" ht="14" x14ac:dyDescent="0.3">
      <c r="A38" s="2" t="s">
        <v>24</v>
      </c>
      <c r="B38" s="3">
        <f>((-15786)+1303740+(3690810+2135157)+38581+416216+(-8947))</f>
        <v>7559771</v>
      </c>
      <c r="C38" s="3">
        <f>(0+6532+(0+0)+0+0+0)</f>
        <v>6532</v>
      </c>
      <c r="D38" s="3">
        <f>(0+0+(0+0)+0+0+0)</f>
        <v>0</v>
      </c>
      <c r="E38" s="3">
        <f>(((-15786)+1303740+(3690810+2135157)+38581+416216+(-8947))+(0+6532+(0+0)+0+0+0)+(0+0+(0+0)+0+0+0))</f>
        <v>7566303</v>
      </c>
      <c r="F38" s="3">
        <f>(0+50+(0+0)+0+128+0)</f>
        <v>178</v>
      </c>
      <c r="G38" s="3">
        <f>(7224+1270104+(1427038+850896)+6761+427613+9095)</f>
        <v>3998731</v>
      </c>
      <c r="H38" s="3">
        <f>((0+50+(0+0)+0+128+0)+(7224+1270104+(1427038+850896)+6761+427613+9095))</f>
        <v>3998909</v>
      </c>
      <c r="I38" s="3">
        <f>((((-15786)+1303740+(3690810+2135157)+38581+416216+(-8947))+(0+6532+(0+0)+0+0+0)+(0+0+(0+0)+0+0+0))-((0+50+(0+0)+0+128+0)+(7224+1270104+(1427038+850896)+6761+427613+9095)))</f>
        <v>3567394</v>
      </c>
    </row>
    <row r="39" spans="1:9" ht="14" x14ac:dyDescent="0.3">
      <c r="A39" s="2" t="s">
        <v>25</v>
      </c>
      <c r="B39" s="3">
        <f>((-205201)+9697505+(0+0)+125789+934594+418023)</f>
        <v>10970710</v>
      </c>
      <c r="C39" s="3">
        <f>(0+0+(0+0)+0+0+0)</f>
        <v>0</v>
      </c>
      <c r="D39" s="3">
        <f>(0+0+(0+0)+0+0+0)</f>
        <v>0</v>
      </c>
      <c r="E39" s="3">
        <f>(((-205201)+9697505+(0+0)+125789+934594+418023)+(0+0+(0+0)+0+0+0)+(0+0+(0+0)+0+0+0))</f>
        <v>10970710</v>
      </c>
      <c r="F39" s="3">
        <f>(0+678902+(0+0)+0+44698+5440)</f>
        <v>729040</v>
      </c>
      <c r="G39" s="3">
        <f>((-168489)+4927035+(0+0)+14291+440640+53835)</f>
        <v>5267312</v>
      </c>
      <c r="H39" s="3">
        <f>((0+678902+(0+0)+0+44698+5440)+((-168489)+4927035+(0+0)+14291+440640+53835))</f>
        <v>5996352</v>
      </c>
      <c r="I39" s="3">
        <f>((((-205201)+9697505+(0+0)+125789+934594+418023)+(0+0+(0+0)+0+0+0)+(0+0+(0+0)+0+0+0))-((0+678902+(0+0)+0+44698+5440)+((-168489)+4927035+(0+0)+14291+440640+53835)))</f>
        <v>4974358</v>
      </c>
    </row>
    <row r="40" spans="1:9" ht="14" x14ac:dyDescent="0.3">
      <c r="A40" s="2" t="s">
        <v>26</v>
      </c>
      <c r="B40" s="3">
        <f>(1531831+420085+(4060938+1951881)+(-94948)+(-1160125)+555615)</f>
        <v>7265277</v>
      </c>
      <c r="C40" s="3">
        <f>(95141+(-5751478)+(0+0)+0+0+0)</f>
        <v>-5656337</v>
      </c>
      <c r="D40" s="3">
        <f>(0+0+(0+0)+0+0+0)</f>
        <v>0</v>
      </c>
      <c r="E40" s="3">
        <f>((1531831+420085+(4060938+1951881)+(-94948)+(-1160125)+555615)+(95141+(-5751478)+(0+0)+0+0+0)+(0+0+(0+0)+0+0+0))</f>
        <v>1608940</v>
      </c>
      <c r="F40" s="3">
        <f>((-1488)+(-33288)+(0+0)+0+4798+0)</f>
        <v>-29978</v>
      </c>
      <c r="G40" s="3">
        <f>(1502161+(-4586317)+(0+0)+11411+(-632568)+(-193))</f>
        <v>-3705506</v>
      </c>
      <c r="H40" s="3">
        <f>(((-1488)+(-33288)+(0+0)+0+4798+0)+(1502161+(-4586317)+(0+0)+11411+(-632568)+(-193)))</f>
        <v>-3735484</v>
      </c>
      <c r="I40" s="3">
        <f>(((1531831+420085+(4060938+1951881)+(-94948)+(-1160125)+555615)+(95141+(-5751478)+(0+0)+0+0+0)+(0+0+(0+0)+0+0+0))-(((-1488)+(-33288)+(0+0)+0+4798+0)+(1502161+(-4586317)+(0+0)+11411+(-632568)+(-193))))</f>
        <v>5344424</v>
      </c>
    </row>
    <row r="41" spans="1:9" ht="14" x14ac:dyDescent="0.3">
      <c r="A41" s="5" t="s">
        <v>28</v>
      </c>
      <c r="B41" s="5"/>
      <c r="C41" s="5"/>
      <c r="D41" s="5"/>
      <c r="E41" s="5"/>
      <c r="F41" s="5"/>
      <c r="G41" s="5"/>
      <c r="H41" s="5"/>
      <c r="I41" s="5"/>
    </row>
    <row r="42" spans="1:9" ht="14" x14ac:dyDescent="0.3">
      <c r="A42" s="4" t="s">
        <v>1</v>
      </c>
      <c r="B42" s="1" t="s">
        <v>2</v>
      </c>
      <c r="C42" s="1" t="s">
        <v>3</v>
      </c>
      <c r="D42" s="1" t="s">
        <v>4</v>
      </c>
      <c r="E42" s="1" t="s">
        <v>5</v>
      </c>
      <c r="F42" s="1" t="s">
        <v>6</v>
      </c>
      <c r="G42" s="1" t="s">
        <v>7</v>
      </c>
      <c r="H42" s="1" t="s">
        <v>8</v>
      </c>
      <c r="I42" s="1" t="s">
        <v>9</v>
      </c>
    </row>
    <row r="43" spans="1:9" ht="14" x14ac:dyDescent="0.3">
      <c r="A43" s="4"/>
      <c r="B43" s="1">
        <v>2023</v>
      </c>
      <c r="C43" s="1">
        <v>2023</v>
      </c>
      <c r="D43" s="1">
        <v>2023</v>
      </c>
      <c r="E43" s="1">
        <v>2023</v>
      </c>
      <c r="F43" s="1">
        <v>2023</v>
      </c>
      <c r="G43" s="1">
        <v>2023</v>
      </c>
      <c r="H43" s="1">
        <v>2023</v>
      </c>
      <c r="I43" s="1">
        <v>2023</v>
      </c>
    </row>
    <row r="44" spans="1:9" ht="14" x14ac:dyDescent="0.3">
      <c r="A44" s="2" t="s">
        <v>10</v>
      </c>
      <c r="B44" s="3">
        <f>(-68659)</f>
        <v>-68659</v>
      </c>
      <c r="C44" s="3">
        <f>0</f>
        <v>0</v>
      </c>
      <c r="D44" s="3">
        <f>0</f>
        <v>0</v>
      </c>
      <c r="E44" s="3">
        <f>((-68659)+0+0)</f>
        <v>-68659</v>
      </c>
      <c r="F44" s="3">
        <f>0</f>
        <v>0</v>
      </c>
      <c r="G44" s="3">
        <f>(-69941)</f>
        <v>-69941</v>
      </c>
      <c r="H44" s="3">
        <f>(0+(-69941))</f>
        <v>-69941</v>
      </c>
      <c r="I44" s="3">
        <f>(((-68659)+0+0)-(0+(-69941)))</f>
        <v>1282</v>
      </c>
    </row>
    <row r="45" spans="1:9" ht="14" x14ac:dyDescent="0.3">
      <c r="A45" s="2" t="s">
        <v>11</v>
      </c>
      <c r="B45" s="3">
        <f>0</f>
        <v>0</v>
      </c>
      <c r="C45" s="3">
        <f>0</f>
        <v>0</v>
      </c>
      <c r="D45" s="3">
        <f>0</f>
        <v>0</v>
      </c>
      <c r="E45" s="3">
        <f>(0+0+0)</f>
        <v>0</v>
      </c>
      <c r="F45" s="3">
        <f>0</f>
        <v>0</v>
      </c>
      <c r="G45" s="3">
        <f>0</f>
        <v>0</v>
      </c>
      <c r="H45" s="3">
        <f>(0+0)</f>
        <v>0</v>
      </c>
      <c r="I45" s="3">
        <f>((0+0+0)-(0+0))</f>
        <v>0</v>
      </c>
    </row>
    <row r="46" spans="1:9" ht="14" x14ac:dyDescent="0.3">
      <c r="A46" s="2" t="s">
        <v>12</v>
      </c>
      <c r="B46" s="3">
        <f>(-122522)</f>
        <v>-122522</v>
      </c>
      <c r="C46" s="3">
        <f>(-3027)</f>
        <v>-3027</v>
      </c>
      <c r="D46" s="3">
        <f>0</f>
        <v>0</v>
      </c>
      <c r="E46" s="3">
        <f>((-122522)+(-3027)+0)</f>
        <v>-125549</v>
      </c>
      <c r="F46" s="3">
        <f>185749</f>
        <v>185749</v>
      </c>
      <c r="G46" s="3">
        <f>(-281044)</f>
        <v>-281044</v>
      </c>
      <c r="H46" s="3">
        <f>(185749+(-281044))</f>
        <v>-95295</v>
      </c>
      <c r="I46" s="3">
        <f>(((-122522)+(-3027)+0)-(185749+(-281044)))</f>
        <v>-30254</v>
      </c>
    </row>
    <row r="47" spans="1:9" ht="14" x14ac:dyDescent="0.3">
      <c r="A47" s="2" t="s">
        <v>13</v>
      </c>
      <c r="B47" s="3">
        <f>222270</f>
        <v>222270</v>
      </c>
      <c r="C47" s="3">
        <f>42721</f>
        <v>42721</v>
      </c>
      <c r="D47" s="3">
        <f>0</f>
        <v>0</v>
      </c>
      <c r="E47" s="3">
        <f>(222270+42721+0)</f>
        <v>264991</v>
      </c>
      <c r="F47" s="3">
        <f>0</f>
        <v>0</v>
      </c>
      <c r="G47" s="3">
        <f>0</f>
        <v>0</v>
      </c>
      <c r="H47" s="3">
        <f>(0+0)</f>
        <v>0</v>
      </c>
      <c r="I47" s="3">
        <f>((222270+42721+0)-(0+0))</f>
        <v>264991</v>
      </c>
    </row>
    <row r="48" spans="1:9" ht="14" x14ac:dyDescent="0.3">
      <c r="A48" s="2" t="s">
        <v>14</v>
      </c>
      <c r="B48" s="3">
        <f>(-1105)</f>
        <v>-1105</v>
      </c>
      <c r="C48" s="3">
        <f>0</f>
        <v>0</v>
      </c>
      <c r="D48" s="3">
        <f>0</f>
        <v>0</v>
      </c>
      <c r="E48" s="3">
        <f>((-1105)+0+0)</f>
        <v>-1105</v>
      </c>
      <c r="F48" s="3">
        <f>0</f>
        <v>0</v>
      </c>
      <c r="G48" s="3">
        <f>(-773)</f>
        <v>-773</v>
      </c>
      <c r="H48" s="3">
        <f>(0+(-773))</f>
        <v>-773</v>
      </c>
      <c r="I48" s="3">
        <f>(((-1105)+0+0)-(0+(-773)))</f>
        <v>-332</v>
      </c>
    </row>
    <row r="49" spans="1:9" ht="14" x14ac:dyDescent="0.3">
      <c r="A49" s="2" t="s">
        <v>15</v>
      </c>
      <c r="B49" s="3">
        <f>2455433</f>
        <v>2455433</v>
      </c>
      <c r="C49" s="3">
        <f>0</f>
        <v>0</v>
      </c>
      <c r="D49" s="3">
        <f>0</f>
        <v>0</v>
      </c>
      <c r="E49" s="3">
        <f>(2455433+0+0)</f>
        <v>2455433</v>
      </c>
      <c r="F49" s="3">
        <f>0</f>
        <v>0</v>
      </c>
      <c r="G49" s="3">
        <f>2347902</f>
        <v>2347902</v>
      </c>
      <c r="H49" s="3">
        <f>(0+2347902)</f>
        <v>2347902</v>
      </c>
      <c r="I49" s="3">
        <f>((2455433+0+0)-(0+2347902))</f>
        <v>107531</v>
      </c>
    </row>
    <row r="50" spans="1:9" ht="14" x14ac:dyDescent="0.3">
      <c r="A50" s="2" t="s">
        <v>16</v>
      </c>
      <c r="B50" s="3">
        <f>(-1924)</f>
        <v>-1924</v>
      </c>
      <c r="C50" s="3">
        <f>0</f>
        <v>0</v>
      </c>
      <c r="D50" s="3">
        <f>0</f>
        <v>0</v>
      </c>
      <c r="E50" s="3">
        <f>((-1924)+0+0)</f>
        <v>-1924</v>
      </c>
      <c r="F50" s="3">
        <f>(-2479)</f>
        <v>-2479</v>
      </c>
      <c r="G50" s="3">
        <f>1171</f>
        <v>1171</v>
      </c>
      <c r="H50" s="3">
        <f>((-2479)+1171)</f>
        <v>-1308</v>
      </c>
      <c r="I50" s="3">
        <f>(((-1924)+0+0)-((-2479)+1171))</f>
        <v>-616</v>
      </c>
    </row>
    <row r="51" spans="1:9" ht="14" x14ac:dyDescent="0.3">
      <c r="A51" s="2" t="s">
        <v>17</v>
      </c>
      <c r="B51" s="3">
        <f>0</f>
        <v>0</v>
      </c>
      <c r="C51" s="3">
        <f>0</f>
        <v>0</v>
      </c>
      <c r="D51" s="3">
        <f>0</f>
        <v>0</v>
      </c>
      <c r="E51" s="3">
        <f>(0+0+0)</f>
        <v>0</v>
      </c>
      <c r="F51" s="3">
        <f>0</f>
        <v>0</v>
      </c>
      <c r="G51" s="3">
        <f>0</f>
        <v>0</v>
      </c>
      <c r="H51" s="3">
        <f>(0+0)</f>
        <v>0</v>
      </c>
      <c r="I51" s="3">
        <f>((0+0+0)-(0+0))</f>
        <v>0</v>
      </c>
    </row>
    <row r="52" spans="1:9" ht="14" x14ac:dyDescent="0.3">
      <c r="A52" s="2" t="s">
        <v>18</v>
      </c>
      <c r="B52" s="3">
        <f>1884</f>
        <v>1884</v>
      </c>
      <c r="C52" s="3">
        <f>0</f>
        <v>0</v>
      </c>
      <c r="D52" s="3">
        <f>0</f>
        <v>0</v>
      </c>
      <c r="E52" s="3">
        <f>(1884+0+0)</f>
        <v>1884</v>
      </c>
      <c r="F52" s="3">
        <f>0</f>
        <v>0</v>
      </c>
      <c r="G52" s="3">
        <f>1418</f>
        <v>1418</v>
      </c>
      <c r="H52" s="3">
        <f>(0+1418)</f>
        <v>1418</v>
      </c>
      <c r="I52" s="3">
        <f>((1884+0+0)-(0+1418))</f>
        <v>466</v>
      </c>
    </row>
    <row r="53" spans="1:9" ht="14" x14ac:dyDescent="0.3">
      <c r="A53" s="2" t="s">
        <v>19</v>
      </c>
      <c r="B53" s="3">
        <f>65641</f>
        <v>65641</v>
      </c>
      <c r="C53" s="3">
        <f>0</f>
        <v>0</v>
      </c>
      <c r="D53" s="3">
        <f>0</f>
        <v>0</v>
      </c>
      <c r="E53" s="3">
        <f>(65641+0+0)</f>
        <v>65641</v>
      </c>
      <c r="F53" s="3">
        <f>0</f>
        <v>0</v>
      </c>
      <c r="G53" s="3">
        <f>55250</f>
        <v>55250</v>
      </c>
      <c r="H53" s="3">
        <f>(0+55250)</f>
        <v>55250</v>
      </c>
      <c r="I53" s="3">
        <f>((65641+0+0)-(0+55250))</f>
        <v>10391</v>
      </c>
    </row>
    <row r="54" spans="1:9" ht="14" x14ac:dyDescent="0.3">
      <c r="A54" s="2" t="s">
        <v>20</v>
      </c>
      <c r="B54" s="3">
        <f>(-9659)</f>
        <v>-9659</v>
      </c>
      <c r="C54" s="3">
        <f>117</f>
        <v>117</v>
      </c>
      <c r="D54" s="3">
        <f>0</f>
        <v>0</v>
      </c>
      <c r="E54" s="3">
        <f>((-9659)+117+0)</f>
        <v>-9542</v>
      </c>
      <c r="F54" s="3">
        <f>0</f>
        <v>0</v>
      </c>
      <c r="G54" s="3">
        <f>(-55270)</f>
        <v>-55270</v>
      </c>
      <c r="H54" s="3">
        <f>(0+(-55270))</f>
        <v>-55270</v>
      </c>
      <c r="I54" s="3">
        <f>(((-9659)+117+0)-(0+(-55270)))</f>
        <v>45728</v>
      </c>
    </row>
    <row r="55" spans="1:9" ht="14" x14ac:dyDescent="0.3">
      <c r="A55" s="2" t="s">
        <v>21</v>
      </c>
      <c r="B55" s="3">
        <f>0</f>
        <v>0</v>
      </c>
      <c r="C55" s="3">
        <f>0</f>
        <v>0</v>
      </c>
      <c r="D55" s="3">
        <f>0</f>
        <v>0</v>
      </c>
      <c r="E55" s="3">
        <f>(0+0+0)</f>
        <v>0</v>
      </c>
      <c r="F55" s="3">
        <f>0</f>
        <v>0</v>
      </c>
      <c r="G55" s="3">
        <f>0</f>
        <v>0</v>
      </c>
      <c r="H55" s="3">
        <f>(0+0)</f>
        <v>0</v>
      </c>
      <c r="I55" s="3">
        <f>((0+0+0)-(0+0))</f>
        <v>0</v>
      </c>
    </row>
    <row r="56" spans="1:9" ht="14" x14ac:dyDescent="0.3">
      <c r="A56" s="2" t="s">
        <v>22</v>
      </c>
      <c r="B56" s="3">
        <f>5278184</f>
        <v>5278184</v>
      </c>
      <c r="C56" s="3">
        <f>0</f>
        <v>0</v>
      </c>
      <c r="D56" s="3">
        <f>0</f>
        <v>0</v>
      </c>
      <c r="E56" s="3">
        <f>(5278184+0+0)</f>
        <v>5278184</v>
      </c>
      <c r="F56" s="3">
        <f>601</f>
        <v>601</v>
      </c>
      <c r="G56" s="3">
        <f>5296340</f>
        <v>5296340</v>
      </c>
      <c r="H56" s="3">
        <f>(601+5296340)</f>
        <v>5296941</v>
      </c>
      <c r="I56" s="3">
        <f>((5278184+0+0)-(601+5296340))</f>
        <v>-18757</v>
      </c>
    </row>
    <row r="57" spans="1:9" ht="14" x14ac:dyDescent="0.3">
      <c r="A57" s="2" t="s">
        <v>23</v>
      </c>
      <c r="B57" s="3">
        <f>145769</f>
        <v>145769</v>
      </c>
      <c r="C57" s="3">
        <f>(-8519)</f>
        <v>-8519</v>
      </c>
      <c r="D57" s="3">
        <f>0</f>
        <v>0</v>
      </c>
      <c r="E57" s="3">
        <f>(145769+(-8519)+0)</f>
        <v>137250</v>
      </c>
      <c r="F57" s="3">
        <f>0</f>
        <v>0</v>
      </c>
      <c r="G57" s="3">
        <f>121422</f>
        <v>121422</v>
      </c>
      <c r="H57" s="3">
        <f>(0+121422)</f>
        <v>121422</v>
      </c>
      <c r="I57" s="3">
        <f>((145769+(-8519)+0)-(0+121422))</f>
        <v>15828</v>
      </c>
    </row>
    <row r="58" spans="1:9" ht="14" x14ac:dyDescent="0.3">
      <c r="A58" s="2" t="s">
        <v>24</v>
      </c>
      <c r="B58" s="3">
        <f>(-15786)</f>
        <v>-15786</v>
      </c>
      <c r="C58" s="3">
        <f>0</f>
        <v>0</v>
      </c>
      <c r="D58" s="3">
        <f>0</f>
        <v>0</v>
      </c>
      <c r="E58" s="3">
        <f>((-15786)+0+0)</f>
        <v>-15786</v>
      </c>
      <c r="F58" s="3">
        <f>0</f>
        <v>0</v>
      </c>
      <c r="G58" s="3">
        <f>7224</f>
        <v>7224</v>
      </c>
      <c r="H58" s="3">
        <f>(0+7224)</f>
        <v>7224</v>
      </c>
      <c r="I58" s="3">
        <f>(((-15786)+0+0)-(0+7224))</f>
        <v>-23010</v>
      </c>
    </row>
    <row r="59" spans="1:9" ht="14" x14ac:dyDescent="0.3">
      <c r="A59" s="2" t="s">
        <v>25</v>
      </c>
      <c r="B59" s="3">
        <f>(-205201)</f>
        <v>-205201</v>
      </c>
      <c r="C59" s="3">
        <f>0</f>
        <v>0</v>
      </c>
      <c r="D59" s="3">
        <f>0</f>
        <v>0</v>
      </c>
      <c r="E59" s="3">
        <f>((-205201)+0+0)</f>
        <v>-205201</v>
      </c>
      <c r="F59" s="3">
        <f>0</f>
        <v>0</v>
      </c>
      <c r="G59" s="3">
        <f>(-168489)</f>
        <v>-168489</v>
      </c>
      <c r="H59" s="3">
        <f>(0+(-168489))</f>
        <v>-168489</v>
      </c>
      <c r="I59" s="3">
        <f>(((-205201)+0+0)-(0+(-168489)))</f>
        <v>-36712</v>
      </c>
    </row>
    <row r="60" spans="1:9" ht="14" x14ac:dyDescent="0.3">
      <c r="A60" s="2" t="s">
        <v>26</v>
      </c>
      <c r="B60" s="3">
        <f>1531831</f>
        <v>1531831</v>
      </c>
      <c r="C60" s="3">
        <f>95141</f>
        <v>95141</v>
      </c>
      <c r="D60" s="3">
        <f>0</f>
        <v>0</v>
      </c>
      <c r="E60" s="3">
        <f>(1531831+95141+0)</f>
        <v>1626972</v>
      </c>
      <c r="F60" s="3">
        <f>(-1488)</f>
        <v>-1488</v>
      </c>
      <c r="G60" s="3">
        <f>1502161</f>
        <v>1502161</v>
      </c>
      <c r="H60" s="3">
        <f>((-1488)+1502161)</f>
        <v>1500673</v>
      </c>
      <c r="I60" s="3">
        <f>((1531831+95141+0)-((-1488)+1502161))</f>
        <v>126299</v>
      </c>
    </row>
    <row r="61" spans="1:9" ht="14" x14ac:dyDescent="0.3">
      <c r="A61" s="5" t="s">
        <v>29</v>
      </c>
      <c r="B61" s="5"/>
      <c r="C61" s="5"/>
      <c r="D61" s="5"/>
      <c r="E61" s="5"/>
      <c r="F61" s="5"/>
      <c r="G61" s="5"/>
      <c r="H61" s="5"/>
      <c r="I61" s="5"/>
    </row>
    <row r="62" spans="1:9" ht="14" x14ac:dyDescent="0.3">
      <c r="A62" s="4" t="s">
        <v>1</v>
      </c>
      <c r="B62" s="1" t="s">
        <v>2</v>
      </c>
      <c r="C62" s="1" t="s">
        <v>3</v>
      </c>
      <c r="D62" s="1" t="s">
        <v>4</v>
      </c>
      <c r="E62" s="1" t="s">
        <v>5</v>
      </c>
      <c r="F62" s="1" t="s">
        <v>6</v>
      </c>
      <c r="G62" s="1" t="s">
        <v>7</v>
      </c>
      <c r="H62" s="1" t="s">
        <v>8</v>
      </c>
      <c r="I62" s="1" t="s">
        <v>9</v>
      </c>
    </row>
    <row r="63" spans="1:9" ht="14" x14ac:dyDescent="0.3">
      <c r="A63" s="4"/>
      <c r="B63" s="1">
        <v>2023</v>
      </c>
      <c r="C63" s="1">
        <v>2023</v>
      </c>
      <c r="D63" s="1">
        <v>2023</v>
      </c>
      <c r="E63" s="1">
        <v>2023</v>
      </c>
      <c r="F63" s="1">
        <v>2023</v>
      </c>
      <c r="G63" s="1">
        <v>2023</v>
      </c>
      <c r="H63" s="1">
        <v>2023</v>
      </c>
      <c r="I63" s="1">
        <v>2023</v>
      </c>
    </row>
    <row r="64" spans="1:9" ht="14" x14ac:dyDescent="0.3">
      <c r="A64" s="2" t="s">
        <v>10</v>
      </c>
      <c r="B64" s="3">
        <f>14110097</f>
        <v>14110097</v>
      </c>
      <c r="C64" s="3">
        <f>0</f>
        <v>0</v>
      </c>
      <c r="D64" s="3">
        <f>0</f>
        <v>0</v>
      </c>
      <c r="E64" s="3">
        <f>(14110097+0+0)</f>
        <v>14110097</v>
      </c>
      <c r="F64" s="3">
        <f>0</f>
        <v>0</v>
      </c>
      <c r="G64" s="3">
        <f>13947201</f>
        <v>13947201</v>
      </c>
      <c r="H64" s="3">
        <f>(0+13947201)</f>
        <v>13947201</v>
      </c>
      <c r="I64" s="3">
        <f>((14110097+0+0)-(0+13947201))</f>
        <v>162896</v>
      </c>
    </row>
    <row r="65" spans="1:9" ht="14" x14ac:dyDescent="0.3">
      <c r="A65" s="2" t="s">
        <v>11</v>
      </c>
      <c r="B65" s="3">
        <f>0</f>
        <v>0</v>
      </c>
      <c r="C65" s="3">
        <f>0</f>
        <v>0</v>
      </c>
      <c r="D65" s="3">
        <f>0</f>
        <v>0</v>
      </c>
      <c r="E65" s="3">
        <f>(0+0+0)</f>
        <v>0</v>
      </c>
      <c r="F65" s="3">
        <f>0</f>
        <v>0</v>
      </c>
      <c r="G65" s="3">
        <f>0</f>
        <v>0</v>
      </c>
      <c r="H65" s="3">
        <f>(0+0)</f>
        <v>0</v>
      </c>
      <c r="I65" s="3">
        <f>((0+0+0)-(0+0))</f>
        <v>0</v>
      </c>
    </row>
    <row r="66" spans="1:9" ht="14" x14ac:dyDescent="0.3">
      <c r="A66" s="2" t="s">
        <v>12</v>
      </c>
      <c r="B66" s="3">
        <f>(-2827687)</f>
        <v>-2827687</v>
      </c>
      <c r="C66" s="3">
        <f>40501</f>
        <v>40501</v>
      </c>
      <c r="D66" s="3">
        <f>0</f>
        <v>0</v>
      </c>
      <c r="E66" s="3">
        <f>((-2827687)+40501+0)</f>
        <v>-2787186</v>
      </c>
      <c r="F66" s="3">
        <f>72164</f>
        <v>72164</v>
      </c>
      <c r="G66" s="3">
        <f>(-2822811)</f>
        <v>-2822811</v>
      </c>
      <c r="H66" s="3">
        <f>(72164+(-2822811))</f>
        <v>-2750647</v>
      </c>
      <c r="I66" s="3">
        <f>(((-2827687)+40501+0)-(72164+(-2822811)))</f>
        <v>-36539</v>
      </c>
    </row>
    <row r="67" spans="1:9" ht="14" x14ac:dyDescent="0.3">
      <c r="A67" s="2" t="s">
        <v>13</v>
      </c>
      <c r="B67" s="3">
        <f>(-88502)</f>
        <v>-88502</v>
      </c>
      <c r="C67" s="3">
        <f>(-21200)</f>
        <v>-21200</v>
      </c>
      <c r="D67" s="3">
        <f>0</f>
        <v>0</v>
      </c>
      <c r="E67" s="3">
        <f>((-88502)+(-21200)+0)</f>
        <v>-109702</v>
      </c>
      <c r="F67" s="3">
        <f>(-84934)</f>
        <v>-84934</v>
      </c>
      <c r="G67" s="3">
        <f>13801</f>
        <v>13801</v>
      </c>
      <c r="H67" s="3">
        <f>((-84934)+13801)</f>
        <v>-71133</v>
      </c>
      <c r="I67" s="3">
        <f>(((-88502)+(-21200)+0)-((-84934)+13801))</f>
        <v>-38569</v>
      </c>
    </row>
    <row r="68" spans="1:9" ht="14" x14ac:dyDescent="0.3">
      <c r="A68" s="2" t="s">
        <v>14</v>
      </c>
      <c r="B68" s="3">
        <f>(-1003338)</f>
        <v>-1003338</v>
      </c>
      <c r="C68" s="3">
        <f>0</f>
        <v>0</v>
      </c>
      <c r="D68" s="3">
        <f>0</f>
        <v>0</v>
      </c>
      <c r="E68" s="3">
        <f>((-1003338)+0+0)</f>
        <v>-1003338</v>
      </c>
      <c r="F68" s="3">
        <f>(-132164)</f>
        <v>-132164</v>
      </c>
      <c r="G68" s="3">
        <f>(-807175)</f>
        <v>-807175</v>
      </c>
      <c r="H68" s="3">
        <f>((-132164)+(-807175))</f>
        <v>-939339</v>
      </c>
      <c r="I68" s="3">
        <f>(((-1003338)+0+0)-((-132164)+(-807175)))</f>
        <v>-63999</v>
      </c>
    </row>
    <row r="69" spans="1:9" ht="14" x14ac:dyDescent="0.3">
      <c r="A69" s="2" t="s">
        <v>15</v>
      </c>
      <c r="B69" s="3">
        <f>4440657</f>
        <v>4440657</v>
      </c>
      <c r="C69" s="3">
        <f>0</f>
        <v>0</v>
      </c>
      <c r="D69" s="3">
        <f>0</f>
        <v>0</v>
      </c>
      <c r="E69" s="3">
        <f>(4440657+0+0)</f>
        <v>4440657</v>
      </c>
      <c r="F69" s="3">
        <f>185976</f>
        <v>185976</v>
      </c>
      <c r="G69" s="3">
        <f>4170912</f>
        <v>4170912</v>
      </c>
      <c r="H69" s="3">
        <f>(185976+4170912)</f>
        <v>4356888</v>
      </c>
      <c r="I69" s="3">
        <f>((4440657+0+0)-(185976+4170912))</f>
        <v>83769</v>
      </c>
    </row>
    <row r="70" spans="1:9" ht="14" x14ac:dyDescent="0.3">
      <c r="A70" s="2" t="s">
        <v>16</v>
      </c>
      <c r="B70" s="3">
        <f>(-946711)</f>
        <v>-946711</v>
      </c>
      <c r="C70" s="3">
        <f>0</f>
        <v>0</v>
      </c>
      <c r="D70" s="3">
        <f>0</f>
        <v>0</v>
      </c>
      <c r="E70" s="3">
        <f>((-946711)+0+0)</f>
        <v>-946711</v>
      </c>
      <c r="F70" s="3">
        <f>(-665683)</f>
        <v>-665683</v>
      </c>
      <c r="G70" s="3">
        <f>(-225962)</f>
        <v>-225962</v>
      </c>
      <c r="H70" s="3">
        <f>((-665683)+(-225962))</f>
        <v>-891645</v>
      </c>
      <c r="I70" s="3">
        <f>(((-946711)+0+0)-((-665683)+(-225962)))</f>
        <v>-55066</v>
      </c>
    </row>
    <row r="71" spans="1:9" ht="14" x14ac:dyDescent="0.3">
      <c r="A71" s="2" t="s">
        <v>17</v>
      </c>
      <c r="B71" s="3">
        <f>(-2889)</f>
        <v>-2889</v>
      </c>
      <c r="C71" s="3">
        <f>(-473)</f>
        <v>-473</v>
      </c>
      <c r="D71" s="3">
        <f>0</f>
        <v>0</v>
      </c>
      <c r="E71" s="3">
        <f>((-2889)+(-473)+0)</f>
        <v>-3362</v>
      </c>
      <c r="F71" s="3">
        <f>(-1295)</f>
        <v>-1295</v>
      </c>
      <c r="G71" s="3">
        <f>0</f>
        <v>0</v>
      </c>
      <c r="H71" s="3">
        <f>((-1295)+0)</f>
        <v>-1295</v>
      </c>
      <c r="I71" s="3">
        <f>(((-2889)+(-473)+0)-((-1295)+0))</f>
        <v>-2067</v>
      </c>
    </row>
    <row r="72" spans="1:9" ht="14" x14ac:dyDescent="0.3">
      <c r="A72" s="2" t="s">
        <v>18</v>
      </c>
      <c r="B72" s="3">
        <f>(-205)</f>
        <v>-205</v>
      </c>
      <c r="C72" s="3">
        <f>10083</f>
        <v>10083</v>
      </c>
      <c r="D72" s="3">
        <f>0</f>
        <v>0</v>
      </c>
      <c r="E72" s="3">
        <f>((-205)+10083+0)</f>
        <v>9878</v>
      </c>
      <c r="F72" s="3">
        <f>(-2765)</f>
        <v>-2765</v>
      </c>
      <c r="G72" s="3">
        <f>10712</f>
        <v>10712</v>
      </c>
      <c r="H72" s="3">
        <f>((-2765)+10712)</f>
        <v>7947</v>
      </c>
      <c r="I72" s="3">
        <f>(((-205)+10083+0)-((-2765)+10712))</f>
        <v>1931</v>
      </c>
    </row>
    <row r="73" spans="1:9" ht="14" x14ac:dyDescent="0.3">
      <c r="A73" s="2" t="s">
        <v>19</v>
      </c>
      <c r="B73" s="3">
        <f>175243</f>
        <v>175243</v>
      </c>
      <c r="C73" s="3">
        <f>22570</f>
        <v>22570</v>
      </c>
      <c r="D73" s="3">
        <f>0</f>
        <v>0</v>
      </c>
      <c r="E73" s="3">
        <f>(175243+22570+0)</f>
        <v>197813</v>
      </c>
      <c r="F73" s="3">
        <f>20926</f>
        <v>20926</v>
      </c>
      <c r="G73" s="3">
        <f>156825</f>
        <v>156825</v>
      </c>
      <c r="H73" s="3">
        <f>(20926+156825)</f>
        <v>177751</v>
      </c>
      <c r="I73" s="3">
        <f>((175243+22570+0)-(20926+156825))</f>
        <v>20062</v>
      </c>
    </row>
    <row r="74" spans="1:9" ht="14" x14ac:dyDescent="0.3">
      <c r="A74" s="2" t="s">
        <v>20</v>
      </c>
      <c r="B74" s="3">
        <f>730586</f>
        <v>730586</v>
      </c>
      <c r="C74" s="3">
        <f>16605</f>
        <v>16605</v>
      </c>
      <c r="D74" s="3">
        <f>0</f>
        <v>0</v>
      </c>
      <c r="E74" s="3">
        <f>(730586+16605+0)</f>
        <v>747191</v>
      </c>
      <c r="F74" s="3">
        <f>805</f>
        <v>805</v>
      </c>
      <c r="G74" s="3">
        <f>833077</f>
        <v>833077</v>
      </c>
      <c r="H74" s="3">
        <f>(805+833077)</f>
        <v>833882</v>
      </c>
      <c r="I74" s="3">
        <f>((730586+16605+0)-(805+833077))</f>
        <v>-86691</v>
      </c>
    </row>
    <row r="75" spans="1:9" ht="14" x14ac:dyDescent="0.3">
      <c r="A75" s="2" t="s">
        <v>21</v>
      </c>
      <c r="B75" s="3">
        <f>0</f>
        <v>0</v>
      </c>
      <c r="C75" s="3">
        <f>0</f>
        <v>0</v>
      </c>
      <c r="D75" s="3">
        <f>0</f>
        <v>0</v>
      </c>
      <c r="E75" s="3">
        <f>(0+0+0)</f>
        <v>0</v>
      </c>
      <c r="F75" s="3">
        <f>0</f>
        <v>0</v>
      </c>
      <c r="G75" s="3">
        <f>0</f>
        <v>0</v>
      </c>
      <c r="H75" s="3">
        <f>(0+0)</f>
        <v>0</v>
      </c>
      <c r="I75" s="3">
        <f>((0+0+0)-(0+0))</f>
        <v>0</v>
      </c>
    </row>
    <row r="76" spans="1:9" ht="14" x14ac:dyDescent="0.3">
      <c r="A76" s="2" t="s">
        <v>22</v>
      </c>
      <c r="B76" s="3">
        <f>3758775</f>
        <v>3758775</v>
      </c>
      <c r="C76" s="3">
        <f>1029</f>
        <v>1029</v>
      </c>
      <c r="D76" s="3">
        <f>0</f>
        <v>0</v>
      </c>
      <c r="E76" s="3">
        <f>(3758775+1029+0)</f>
        <v>3759804</v>
      </c>
      <c r="F76" s="3">
        <f>55335</f>
        <v>55335</v>
      </c>
      <c r="G76" s="3">
        <f>3551823</f>
        <v>3551823</v>
      </c>
      <c r="H76" s="3">
        <f>(55335+3551823)</f>
        <v>3607158</v>
      </c>
      <c r="I76" s="3">
        <f>((3758775+1029+0)-(55335+3551823))</f>
        <v>152646</v>
      </c>
    </row>
    <row r="77" spans="1:9" ht="14" x14ac:dyDescent="0.3">
      <c r="A77" s="2" t="s">
        <v>23</v>
      </c>
      <c r="B77" s="3">
        <f>1082111</f>
        <v>1082111</v>
      </c>
      <c r="C77" s="3">
        <f>47510</f>
        <v>47510</v>
      </c>
      <c r="D77" s="3">
        <f>0</f>
        <v>0</v>
      </c>
      <c r="E77" s="3">
        <f>(1082111+47510+0)</f>
        <v>1129621</v>
      </c>
      <c r="F77" s="3">
        <f>0</f>
        <v>0</v>
      </c>
      <c r="G77" s="3">
        <f>1106263</f>
        <v>1106263</v>
      </c>
      <c r="H77" s="3">
        <f>(0+1106263)</f>
        <v>1106263</v>
      </c>
      <c r="I77" s="3">
        <f>((1082111+47510+0)-(0+1106263))</f>
        <v>23358</v>
      </c>
    </row>
    <row r="78" spans="1:9" ht="14" x14ac:dyDescent="0.3">
      <c r="A78" s="2" t="s">
        <v>24</v>
      </c>
      <c r="B78" s="3">
        <f>1303740</f>
        <v>1303740</v>
      </c>
      <c r="C78" s="3">
        <f>6532</f>
        <v>6532</v>
      </c>
      <c r="D78" s="3">
        <f>0</f>
        <v>0</v>
      </c>
      <c r="E78" s="3">
        <f>(1303740+6532+0)</f>
        <v>1310272</v>
      </c>
      <c r="F78" s="3">
        <f>50</f>
        <v>50</v>
      </c>
      <c r="G78" s="3">
        <f>1270104</f>
        <v>1270104</v>
      </c>
      <c r="H78" s="3">
        <f>(50+1270104)</f>
        <v>1270154</v>
      </c>
      <c r="I78" s="3">
        <f>((1303740+6532+0)-(50+1270104))</f>
        <v>40118</v>
      </c>
    </row>
    <row r="79" spans="1:9" ht="14" x14ac:dyDescent="0.3">
      <c r="A79" s="2" t="s">
        <v>25</v>
      </c>
      <c r="B79" s="3">
        <f>9697505</f>
        <v>9697505</v>
      </c>
      <c r="C79" s="3">
        <f>0</f>
        <v>0</v>
      </c>
      <c r="D79" s="3">
        <f>0</f>
        <v>0</v>
      </c>
      <c r="E79" s="3">
        <f>(9697505+0+0)</f>
        <v>9697505</v>
      </c>
      <c r="F79" s="3">
        <f>678902</f>
        <v>678902</v>
      </c>
      <c r="G79" s="3">
        <f>4927035</f>
        <v>4927035</v>
      </c>
      <c r="H79" s="3">
        <f>(678902+4927035)</f>
        <v>5605937</v>
      </c>
      <c r="I79" s="3">
        <f>((9697505+0+0)-(678902+4927035))</f>
        <v>4091568</v>
      </c>
    </row>
    <row r="80" spans="1:9" ht="14" x14ac:dyDescent="0.3">
      <c r="A80" s="2" t="s">
        <v>26</v>
      </c>
      <c r="B80" s="3">
        <f>420085</f>
        <v>420085</v>
      </c>
      <c r="C80" s="3">
        <f>(-5751478)</f>
        <v>-5751478</v>
      </c>
      <c r="D80" s="3">
        <f>0</f>
        <v>0</v>
      </c>
      <c r="E80" s="3">
        <f>(420085+(-5751478)+0)</f>
        <v>-5331393</v>
      </c>
      <c r="F80" s="3">
        <f>(-33288)</f>
        <v>-33288</v>
      </c>
      <c r="G80" s="3">
        <f>(-4586317)</f>
        <v>-4586317</v>
      </c>
      <c r="H80" s="3">
        <f>((-33288)+(-4586317))</f>
        <v>-4619605</v>
      </c>
      <c r="I80" s="3">
        <f>((420085+(-5751478)+0)-((-33288)+(-4586317)))</f>
        <v>-711788</v>
      </c>
    </row>
    <row r="81" spans="1:9" ht="14" x14ac:dyDescent="0.3">
      <c r="A81" s="5" t="s">
        <v>30</v>
      </c>
      <c r="B81" s="5"/>
      <c r="C81" s="5"/>
      <c r="D81" s="5"/>
      <c r="E81" s="5"/>
      <c r="F81" s="5"/>
      <c r="G81" s="5"/>
      <c r="H81" s="5"/>
      <c r="I81" s="5"/>
    </row>
    <row r="82" spans="1:9" ht="14" x14ac:dyDescent="0.3">
      <c r="A82" s="4" t="s">
        <v>1</v>
      </c>
      <c r="B82" s="1" t="s">
        <v>2</v>
      </c>
      <c r="C82" s="1" t="s">
        <v>3</v>
      </c>
      <c r="D82" s="1" t="s">
        <v>4</v>
      </c>
      <c r="E82" s="1" t="s">
        <v>5</v>
      </c>
      <c r="F82" s="1" t="s">
        <v>6</v>
      </c>
      <c r="G82" s="1" t="s">
        <v>7</v>
      </c>
      <c r="H82" s="1" t="s">
        <v>8</v>
      </c>
      <c r="I82" s="1" t="s">
        <v>9</v>
      </c>
    </row>
    <row r="83" spans="1:9" ht="14" x14ac:dyDescent="0.3">
      <c r="A83" s="4"/>
      <c r="B83" s="1">
        <v>2023</v>
      </c>
      <c r="C83" s="1">
        <v>2023</v>
      </c>
      <c r="D83" s="1">
        <v>2023</v>
      </c>
      <c r="E83" s="1">
        <v>2023</v>
      </c>
      <c r="F83" s="1">
        <v>2023</v>
      </c>
      <c r="G83" s="1">
        <v>2023</v>
      </c>
      <c r="H83" s="1">
        <v>2023</v>
      </c>
      <c r="I83" s="1">
        <v>2023</v>
      </c>
    </row>
    <row r="84" spans="1:9" ht="14" x14ac:dyDescent="0.3">
      <c r="A84" s="2" t="s">
        <v>10</v>
      </c>
      <c r="B84" s="3">
        <f>2213444</f>
        <v>2213444</v>
      </c>
      <c r="C84" s="3">
        <f>0</f>
        <v>0</v>
      </c>
      <c r="D84" s="3">
        <f>0</f>
        <v>0</v>
      </c>
      <c r="E84" s="3">
        <f>(2213444+0+0)</f>
        <v>2213444</v>
      </c>
      <c r="F84" s="3">
        <f>0</f>
        <v>0</v>
      </c>
      <c r="G84" s="3">
        <f>570468</f>
        <v>570468</v>
      </c>
      <c r="H84" s="3">
        <f>(0+570468)</f>
        <v>570468</v>
      </c>
      <c r="I84" s="3">
        <f>((2213444+0+0)-(0+570468))</f>
        <v>1642976</v>
      </c>
    </row>
    <row r="85" spans="1:9" ht="14" x14ac:dyDescent="0.3">
      <c r="A85" s="2" t="s">
        <v>11</v>
      </c>
      <c r="B85" s="3">
        <f>0</f>
        <v>0</v>
      </c>
      <c r="C85" s="3">
        <f>0</f>
        <v>0</v>
      </c>
      <c r="D85" s="3">
        <f>0</f>
        <v>0</v>
      </c>
      <c r="E85" s="3">
        <f>(0+0+0)</f>
        <v>0</v>
      </c>
      <c r="F85" s="3">
        <f>0</f>
        <v>0</v>
      </c>
      <c r="G85" s="3">
        <f>0</f>
        <v>0</v>
      </c>
      <c r="H85" s="3">
        <f>(0+0)</f>
        <v>0</v>
      </c>
      <c r="I85" s="3">
        <f>((0+0+0)-(0+0))</f>
        <v>0</v>
      </c>
    </row>
    <row r="86" spans="1:9" ht="14" x14ac:dyDescent="0.3">
      <c r="A86" s="2" t="s">
        <v>12</v>
      </c>
      <c r="B86" s="3">
        <f>8718056</f>
        <v>8718056</v>
      </c>
      <c r="C86" s="3">
        <f>0</f>
        <v>0</v>
      </c>
      <c r="D86" s="3">
        <f>0</f>
        <v>0</v>
      </c>
      <c r="E86" s="3">
        <f>(8718056+0+0)</f>
        <v>8718056</v>
      </c>
      <c r="F86" s="3">
        <f>0</f>
        <v>0</v>
      </c>
      <c r="G86" s="3">
        <f>1099853</f>
        <v>1099853</v>
      </c>
      <c r="H86" s="3">
        <f>(0+1099853)</f>
        <v>1099853</v>
      </c>
      <c r="I86" s="3">
        <f>((8718056+0+0)-(0+1099853))</f>
        <v>7618203</v>
      </c>
    </row>
    <row r="87" spans="1:9" ht="14" x14ac:dyDescent="0.3">
      <c r="A87" s="2" t="s">
        <v>13</v>
      </c>
      <c r="B87" s="3">
        <f>768857</f>
        <v>768857</v>
      </c>
      <c r="C87" s="3">
        <f>0</f>
        <v>0</v>
      </c>
      <c r="D87" s="3">
        <f>0</f>
        <v>0</v>
      </c>
      <c r="E87" s="3">
        <f>(768857+0+0)</f>
        <v>768857</v>
      </c>
      <c r="F87" s="3">
        <f>0</f>
        <v>0</v>
      </c>
      <c r="G87" s="3">
        <f>0</f>
        <v>0</v>
      </c>
      <c r="H87" s="3">
        <f>(0+0)</f>
        <v>0</v>
      </c>
      <c r="I87" s="3">
        <f>((768857+0+0)-(0+0))</f>
        <v>768857</v>
      </c>
    </row>
    <row r="88" spans="1:9" ht="14" x14ac:dyDescent="0.3">
      <c r="A88" s="2" t="s">
        <v>14</v>
      </c>
      <c r="B88" s="3">
        <f>1260579</f>
        <v>1260579</v>
      </c>
      <c r="C88" s="3">
        <f>0</f>
        <v>0</v>
      </c>
      <c r="D88" s="3">
        <f>0</f>
        <v>0</v>
      </c>
      <c r="E88" s="3">
        <f>(1260579+0+0)</f>
        <v>1260579</v>
      </c>
      <c r="F88" s="3">
        <f>(-443)</f>
        <v>-443</v>
      </c>
      <c r="G88" s="3">
        <f>(-230802)</f>
        <v>-230802</v>
      </c>
      <c r="H88" s="3">
        <f>((-443)+(-230802))</f>
        <v>-231245</v>
      </c>
      <c r="I88" s="3">
        <f>((1260579+0+0)-((-443)+(-230802)))</f>
        <v>1491824</v>
      </c>
    </row>
    <row r="89" spans="1:9" ht="14" x14ac:dyDescent="0.3">
      <c r="A89" s="2" t="s">
        <v>15</v>
      </c>
      <c r="B89" s="3">
        <f>5948849</f>
        <v>5948849</v>
      </c>
      <c r="C89" s="3">
        <f>0</f>
        <v>0</v>
      </c>
      <c r="D89" s="3">
        <f>0</f>
        <v>0</v>
      </c>
      <c r="E89" s="3">
        <f>(5948849+0+0)</f>
        <v>5948849</v>
      </c>
      <c r="F89" s="3">
        <f>0</f>
        <v>0</v>
      </c>
      <c r="G89" s="3">
        <f>215751</f>
        <v>215751</v>
      </c>
      <c r="H89" s="3">
        <f>(0+215751)</f>
        <v>215751</v>
      </c>
      <c r="I89" s="3">
        <f>((5948849+0+0)-(0+215751))</f>
        <v>5733098</v>
      </c>
    </row>
    <row r="90" spans="1:9" ht="14" x14ac:dyDescent="0.3">
      <c r="A90" s="2" t="s">
        <v>16</v>
      </c>
      <c r="B90" s="3">
        <f>2243299</f>
        <v>2243299</v>
      </c>
      <c r="C90" s="3">
        <f>0</f>
        <v>0</v>
      </c>
      <c r="D90" s="3">
        <f>0</f>
        <v>0</v>
      </c>
      <c r="E90" s="3">
        <f>(2243299+0+0)</f>
        <v>2243299</v>
      </c>
      <c r="F90" s="3">
        <f>(-30471)</f>
        <v>-30471</v>
      </c>
      <c r="G90" s="3">
        <f>(-66670)</f>
        <v>-66670</v>
      </c>
      <c r="H90" s="3">
        <f>((-30471)+(-66670))</f>
        <v>-97141</v>
      </c>
      <c r="I90" s="3">
        <f>((2243299+0+0)-((-30471)+(-66670)))</f>
        <v>2340440</v>
      </c>
    </row>
    <row r="91" spans="1:9" ht="14" x14ac:dyDescent="0.3">
      <c r="A91" s="2" t="s">
        <v>17</v>
      </c>
      <c r="B91" s="3">
        <f>397827</f>
        <v>397827</v>
      </c>
      <c r="C91" s="3">
        <f>0</f>
        <v>0</v>
      </c>
      <c r="D91" s="3">
        <f>0</f>
        <v>0</v>
      </c>
      <c r="E91" s="3">
        <f>(397827+0+0)</f>
        <v>397827</v>
      </c>
      <c r="F91" s="3">
        <f>6875</f>
        <v>6875</v>
      </c>
      <c r="G91" s="3">
        <f>0</f>
        <v>0</v>
      </c>
      <c r="H91" s="3">
        <f>(6875+0)</f>
        <v>6875</v>
      </c>
      <c r="I91" s="3">
        <f>((397827+0+0)-(6875+0))</f>
        <v>390952</v>
      </c>
    </row>
    <row r="92" spans="1:9" ht="14" x14ac:dyDescent="0.3">
      <c r="A92" s="2" t="s">
        <v>18</v>
      </c>
      <c r="B92" s="3">
        <f>264852</f>
        <v>264852</v>
      </c>
      <c r="C92" s="3">
        <f>0</f>
        <v>0</v>
      </c>
      <c r="D92" s="3">
        <f>0</f>
        <v>0</v>
      </c>
      <c r="E92" s="3">
        <f>(264852+0+0)</f>
        <v>264852</v>
      </c>
      <c r="F92" s="3">
        <f>0</f>
        <v>0</v>
      </c>
      <c r="G92" s="3">
        <f>996</f>
        <v>996</v>
      </c>
      <c r="H92" s="3">
        <f>(0+996)</f>
        <v>996</v>
      </c>
      <c r="I92" s="3">
        <f>((264852+0+0)-(0+996))</f>
        <v>263856</v>
      </c>
    </row>
    <row r="93" spans="1:9" ht="14" x14ac:dyDescent="0.3">
      <c r="A93" s="2" t="s">
        <v>19</v>
      </c>
      <c r="B93" s="3">
        <f>1932236</f>
        <v>1932236</v>
      </c>
      <c r="C93" s="3">
        <f>0</f>
        <v>0</v>
      </c>
      <c r="D93" s="3">
        <f>0</f>
        <v>0</v>
      </c>
      <c r="E93" s="3">
        <f>(1932236+0+0)</f>
        <v>1932236</v>
      </c>
      <c r="F93" s="3">
        <f>0</f>
        <v>0</v>
      </c>
      <c r="G93" s="3">
        <f>820737</f>
        <v>820737</v>
      </c>
      <c r="H93" s="3">
        <f>(0+820737)</f>
        <v>820737</v>
      </c>
      <c r="I93" s="3">
        <f>((1932236+0+0)-(0+820737))</f>
        <v>1111499</v>
      </c>
    </row>
    <row r="94" spans="1:9" ht="14" x14ac:dyDescent="0.3">
      <c r="A94" s="2" t="s">
        <v>20</v>
      </c>
      <c r="B94" s="3">
        <f>133864</f>
        <v>133864</v>
      </c>
      <c r="C94" s="3">
        <f>0</f>
        <v>0</v>
      </c>
      <c r="D94" s="3">
        <f>0</f>
        <v>0</v>
      </c>
      <c r="E94" s="3">
        <f>(133864+0+0)</f>
        <v>133864</v>
      </c>
      <c r="F94" s="3">
        <f>0</f>
        <v>0</v>
      </c>
      <c r="G94" s="3">
        <f>14991</f>
        <v>14991</v>
      </c>
      <c r="H94" s="3">
        <f>(0+14991)</f>
        <v>14991</v>
      </c>
      <c r="I94" s="3">
        <f>((133864+0+0)-(0+14991))</f>
        <v>118873</v>
      </c>
    </row>
    <row r="95" spans="1:9" ht="14" x14ac:dyDescent="0.3">
      <c r="A95" s="2" t="s">
        <v>21</v>
      </c>
      <c r="B95" s="3">
        <f>0</f>
        <v>0</v>
      </c>
      <c r="C95" s="3">
        <f>0</f>
        <v>0</v>
      </c>
      <c r="D95" s="3">
        <f>0</f>
        <v>0</v>
      </c>
      <c r="E95" s="3">
        <f>(0+0+0)</f>
        <v>0</v>
      </c>
      <c r="F95" s="3">
        <f>0</f>
        <v>0</v>
      </c>
      <c r="G95" s="3">
        <f>0</f>
        <v>0</v>
      </c>
      <c r="H95" s="3">
        <f>(0+0)</f>
        <v>0</v>
      </c>
      <c r="I95" s="3">
        <f>((0+0+0)-(0+0))</f>
        <v>0</v>
      </c>
    </row>
    <row r="96" spans="1:9" ht="14" x14ac:dyDescent="0.3">
      <c r="A96" s="2" t="s">
        <v>22</v>
      </c>
      <c r="B96" s="3">
        <f>8747644</f>
        <v>8747644</v>
      </c>
      <c r="C96" s="3">
        <f>0</f>
        <v>0</v>
      </c>
      <c r="D96" s="3">
        <f>0</f>
        <v>0</v>
      </c>
      <c r="E96" s="3">
        <f>(8747644+0+0)</f>
        <v>8747644</v>
      </c>
      <c r="F96" s="3">
        <f>0</f>
        <v>0</v>
      </c>
      <c r="G96" s="3">
        <f>168356</f>
        <v>168356</v>
      </c>
      <c r="H96" s="3">
        <f>(0+168356)</f>
        <v>168356</v>
      </c>
      <c r="I96" s="3">
        <f>((8747644+0+0)-(0+168356))</f>
        <v>8579288</v>
      </c>
    </row>
    <row r="97" spans="1:9" ht="14" x14ac:dyDescent="0.3">
      <c r="A97" s="2" t="s">
        <v>23</v>
      </c>
      <c r="B97" s="3">
        <f>145555</f>
        <v>145555</v>
      </c>
      <c r="C97" s="3">
        <f>0</f>
        <v>0</v>
      </c>
      <c r="D97" s="3">
        <f>0</f>
        <v>0</v>
      </c>
      <c r="E97" s="3">
        <f>(145555+0+0)</f>
        <v>145555</v>
      </c>
      <c r="F97" s="3">
        <f>0</f>
        <v>0</v>
      </c>
      <c r="G97" s="3">
        <f>41314</f>
        <v>41314</v>
      </c>
      <c r="H97" s="3">
        <f>(0+41314)</f>
        <v>41314</v>
      </c>
      <c r="I97" s="3">
        <f>((145555+0+0)-(0+41314))</f>
        <v>104241</v>
      </c>
    </row>
    <row r="98" spans="1:9" ht="14" x14ac:dyDescent="0.3">
      <c r="A98" s="2" t="s">
        <v>24</v>
      </c>
      <c r="B98" s="3">
        <f>3690810</f>
        <v>3690810</v>
      </c>
      <c r="C98" s="3">
        <f>0</f>
        <v>0</v>
      </c>
      <c r="D98" s="3">
        <f>0</f>
        <v>0</v>
      </c>
      <c r="E98" s="3">
        <f>(3690810+0+0)</f>
        <v>3690810</v>
      </c>
      <c r="F98" s="3">
        <f>0</f>
        <v>0</v>
      </c>
      <c r="G98" s="3">
        <f>1427038</f>
        <v>1427038</v>
      </c>
      <c r="H98" s="3">
        <f>(0+1427038)</f>
        <v>1427038</v>
      </c>
      <c r="I98" s="3">
        <f>((3690810+0+0)-(0+1427038))</f>
        <v>2263772</v>
      </c>
    </row>
    <row r="99" spans="1:9" ht="14" x14ac:dyDescent="0.3">
      <c r="A99" s="2" t="s">
        <v>25</v>
      </c>
      <c r="B99" s="3">
        <f>0</f>
        <v>0</v>
      </c>
      <c r="C99" s="3">
        <f>0</f>
        <v>0</v>
      </c>
      <c r="D99" s="3">
        <f>0</f>
        <v>0</v>
      </c>
      <c r="E99" s="3">
        <f>(0+0+0)</f>
        <v>0</v>
      </c>
      <c r="F99" s="3">
        <f>0</f>
        <v>0</v>
      </c>
      <c r="G99" s="3">
        <f>0</f>
        <v>0</v>
      </c>
      <c r="H99" s="3">
        <f>(0+0)</f>
        <v>0</v>
      </c>
      <c r="I99" s="3">
        <f>((0+0+0)-(0+0))</f>
        <v>0</v>
      </c>
    </row>
    <row r="100" spans="1:9" ht="14" x14ac:dyDescent="0.3">
      <c r="A100" s="2" t="s">
        <v>26</v>
      </c>
      <c r="B100" s="3">
        <f>4060938</f>
        <v>4060938</v>
      </c>
      <c r="C100" s="3">
        <f>0</f>
        <v>0</v>
      </c>
      <c r="D100" s="3">
        <f>0</f>
        <v>0</v>
      </c>
      <c r="E100" s="3">
        <f>(4060938+0+0)</f>
        <v>4060938</v>
      </c>
      <c r="F100" s="3">
        <f>0</f>
        <v>0</v>
      </c>
      <c r="G100" s="3">
        <f>0</f>
        <v>0</v>
      </c>
      <c r="H100" s="3">
        <f>(0+0)</f>
        <v>0</v>
      </c>
      <c r="I100" s="3">
        <f>((4060938+0+0)-(0+0))</f>
        <v>4060938</v>
      </c>
    </row>
    <row r="101" spans="1:9" ht="14" x14ac:dyDescent="0.3">
      <c r="A101" s="5" t="s">
        <v>31</v>
      </c>
      <c r="B101" s="5"/>
      <c r="C101" s="5"/>
      <c r="D101" s="5"/>
      <c r="E101" s="5"/>
      <c r="F101" s="5"/>
      <c r="G101" s="5"/>
      <c r="H101" s="5"/>
      <c r="I101" s="5"/>
    </row>
    <row r="102" spans="1:9" ht="14" x14ac:dyDescent="0.3">
      <c r="A102" s="4" t="s">
        <v>1</v>
      </c>
      <c r="B102" s="1" t="s">
        <v>2</v>
      </c>
      <c r="C102" s="1" t="s">
        <v>3</v>
      </c>
      <c r="D102" s="1" t="s">
        <v>4</v>
      </c>
      <c r="E102" s="1" t="s">
        <v>5</v>
      </c>
      <c r="F102" s="1" t="s">
        <v>6</v>
      </c>
      <c r="G102" s="1" t="s">
        <v>7</v>
      </c>
      <c r="H102" s="1" t="s">
        <v>8</v>
      </c>
      <c r="I102" s="1" t="s">
        <v>9</v>
      </c>
    </row>
    <row r="103" spans="1:9" ht="14" x14ac:dyDescent="0.3">
      <c r="A103" s="4"/>
      <c r="B103" s="1">
        <v>2023</v>
      </c>
      <c r="C103" s="1">
        <v>2023</v>
      </c>
      <c r="D103" s="1">
        <v>2023</v>
      </c>
      <c r="E103" s="1">
        <v>2023</v>
      </c>
      <c r="F103" s="1">
        <v>2023</v>
      </c>
      <c r="G103" s="1">
        <v>2023</v>
      </c>
      <c r="H103" s="1">
        <v>2023</v>
      </c>
      <c r="I103" s="1">
        <v>2023</v>
      </c>
    </row>
    <row r="104" spans="1:9" ht="14" x14ac:dyDescent="0.3">
      <c r="A104" s="2" t="s">
        <v>10</v>
      </c>
      <c r="B104" s="3">
        <f>3213433</f>
        <v>3213433</v>
      </c>
      <c r="C104" s="3">
        <f>0</f>
        <v>0</v>
      </c>
      <c r="D104" s="3">
        <f>0</f>
        <v>0</v>
      </c>
      <c r="E104" s="3">
        <f>(3213433+0+0)</f>
        <v>3213433</v>
      </c>
      <c r="F104" s="3">
        <f>0</f>
        <v>0</v>
      </c>
      <c r="G104" s="3">
        <f>372389</f>
        <v>372389</v>
      </c>
      <c r="H104" s="3">
        <f>(0+372389)</f>
        <v>372389</v>
      </c>
      <c r="I104" s="3">
        <f>((3213433+0+0)-(0+372389))</f>
        <v>2841044</v>
      </c>
    </row>
    <row r="105" spans="1:9" ht="14" x14ac:dyDescent="0.3">
      <c r="A105" s="2" t="s">
        <v>11</v>
      </c>
      <c r="B105" s="3">
        <f>0</f>
        <v>0</v>
      </c>
      <c r="C105" s="3">
        <f>0</f>
        <v>0</v>
      </c>
      <c r="D105" s="3">
        <f>0</f>
        <v>0</v>
      </c>
      <c r="E105" s="3">
        <f>(0+0+0)</f>
        <v>0</v>
      </c>
      <c r="F105" s="3">
        <f>0</f>
        <v>0</v>
      </c>
      <c r="G105" s="3">
        <f>0</f>
        <v>0</v>
      </c>
      <c r="H105" s="3">
        <f>(0+0)</f>
        <v>0</v>
      </c>
      <c r="I105" s="3">
        <f>((0+0+0)-(0+0))</f>
        <v>0</v>
      </c>
    </row>
    <row r="106" spans="1:9" ht="14" x14ac:dyDescent="0.3">
      <c r="A106" s="2" t="s">
        <v>12</v>
      </c>
      <c r="B106" s="3">
        <f>4652623</f>
        <v>4652623</v>
      </c>
      <c r="C106" s="3">
        <f>0</f>
        <v>0</v>
      </c>
      <c r="D106" s="3">
        <f>0</f>
        <v>0</v>
      </c>
      <c r="E106" s="3">
        <f>(4652623+0+0)</f>
        <v>4652623</v>
      </c>
      <c r="F106" s="3">
        <f>0</f>
        <v>0</v>
      </c>
      <c r="G106" s="3">
        <f>439642</f>
        <v>439642</v>
      </c>
      <c r="H106" s="3">
        <f>(0+439642)</f>
        <v>439642</v>
      </c>
      <c r="I106" s="3">
        <f>((4652623+0+0)-(0+439642))</f>
        <v>4212981</v>
      </c>
    </row>
    <row r="107" spans="1:9" ht="14" x14ac:dyDescent="0.3">
      <c r="A107" s="2" t="s">
        <v>13</v>
      </c>
      <c r="B107" s="3">
        <f>3902496</f>
        <v>3902496</v>
      </c>
      <c r="C107" s="3">
        <f>0</f>
        <v>0</v>
      </c>
      <c r="D107" s="3">
        <f>0</f>
        <v>0</v>
      </c>
      <c r="E107" s="3">
        <f>(3902496+0+0)</f>
        <v>3902496</v>
      </c>
      <c r="F107" s="3">
        <f>0</f>
        <v>0</v>
      </c>
      <c r="G107" s="3">
        <f>248411</f>
        <v>248411</v>
      </c>
      <c r="H107" s="3">
        <f>(0+248411)</f>
        <v>248411</v>
      </c>
      <c r="I107" s="3">
        <f>((3902496+0+0)-(0+248411))</f>
        <v>3654085</v>
      </c>
    </row>
    <row r="108" spans="1:9" ht="14" x14ac:dyDescent="0.3">
      <c r="A108" s="2" t="s">
        <v>14</v>
      </c>
      <c r="B108" s="3">
        <f>(-3032553)</f>
        <v>-3032553</v>
      </c>
      <c r="C108" s="3">
        <f>0</f>
        <v>0</v>
      </c>
      <c r="D108" s="3">
        <f>0</f>
        <v>0</v>
      </c>
      <c r="E108" s="3">
        <f>((-3032553)+0+0)</f>
        <v>-3032553</v>
      </c>
      <c r="F108" s="3">
        <f>443</f>
        <v>443</v>
      </c>
      <c r="G108" s="3">
        <f>152499</f>
        <v>152499</v>
      </c>
      <c r="H108" s="3">
        <f>(443+152499)</f>
        <v>152942</v>
      </c>
      <c r="I108" s="3">
        <f>(((-3032553)+0+0)-(443+152499))</f>
        <v>-3185495</v>
      </c>
    </row>
    <row r="109" spans="1:9" ht="14" x14ac:dyDescent="0.3">
      <c r="A109" s="2" t="s">
        <v>15</v>
      </c>
      <c r="B109" s="3">
        <f>7610496</f>
        <v>7610496</v>
      </c>
      <c r="C109" s="3">
        <f>0</f>
        <v>0</v>
      </c>
      <c r="D109" s="3">
        <f>0</f>
        <v>0</v>
      </c>
      <c r="E109" s="3">
        <f>(7610496+0+0)</f>
        <v>7610496</v>
      </c>
      <c r="F109" s="3">
        <f>0</f>
        <v>0</v>
      </c>
      <c r="G109" s="3">
        <f>809175</f>
        <v>809175</v>
      </c>
      <c r="H109" s="3">
        <f>(0+809175)</f>
        <v>809175</v>
      </c>
      <c r="I109" s="3">
        <f>((7610496+0+0)-(0+809175))</f>
        <v>6801321</v>
      </c>
    </row>
    <row r="110" spans="1:9" ht="14" x14ac:dyDescent="0.3">
      <c r="A110" s="2" t="s">
        <v>16</v>
      </c>
      <c r="B110" s="3">
        <f>4142492</f>
        <v>4142492</v>
      </c>
      <c r="C110" s="3">
        <f>0</f>
        <v>0</v>
      </c>
      <c r="D110" s="3">
        <f>0</f>
        <v>0</v>
      </c>
      <c r="E110" s="3">
        <f>(4142492+0+0)</f>
        <v>4142492</v>
      </c>
      <c r="F110" s="3">
        <f>(-3751)</f>
        <v>-3751</v>
      </c>
      <c r="G110" s="3">
        <f>161004</f>
        <v>161004</v>
      </c>
      <c r="H110" s="3">
        <f>((-3751)+161004)</f>
        <v>157253</v>
      </c>
      <c r="I110" s="3">
        <f>((4142492+0+0)-((-3751)+161004))</f>
        <v>3985239</v>
      </c>
    </row>
    <row r="111" spans="1:9" ht="14" x14ac:dyDescent="0.3">
      <c r="A111" s="2" t="s">
        <v>17</v>
      </c>
      <c r="B111" s="3">
        <f>706465</f>
        <v>706465</v>
      </c>
      <c r="C111" s="3">
        <f>0</f>
        <v>0</v>
      </c>
      <c r="D111" s="3">
        <f>0</f>
        <v>0</v>
      </c>
      <c r="E111" s="3">
        <f>(706465+0+0)</f>
        <v>706465</v>
      </c>
      <c r="F111" s="3">
        <f>17070</f>
        <v>17070</v>
      </c>
      <c r="G111" s="3">
        <f>0</f>
        <v>0</v>
      </c>
      <c r="H111" s="3">
        <f>(17070+0)</f>
        <v>17070</v>
      </c>
      <c r="I111" s="3">
        <f>((706465+0+0)-(17070+0))</f>
        <v>689395</v>
      </c>
    </row>
    <row r="112" spans="1:9" ht="14" x14ac:dyDescent="0.3">
      <c r="A112" s="2" t="s">
        <v>18</v>
      </c>
      <c r="B112" s="3">
        <f>18466</f>
        <v>18466</v>
      </c>
      <c r="C112" s="3">
        <f>0</f>
        <v>0</v>
      </c>
      <c r="D112" s="3">
        <f>0</f>
        <v>0</v>
      </c>
      <c r="E112" s="3">
        <f>(18466+0+0)</f>
        <v>18466</v>
      </c>
      <c r="F112" s="3">
        <f>0</f>
        <v>0</v>
      </c>
      <c r="G112" s="3">
        <f>0</f>
        <v>0</v>
      </c>
      <c r="H112" s="3">
        <f>(0+0)</f>
        <v>0</v>
      </c>
      <c r="I112" s="3">
        <f>((18466+0+0)-(0+0))</f>
        <v>18466</v>
      </c>
    </row>
    <row r="113" spans="1:9" ht="14" x14ac:dyDescent="0.3">
      <c r="A113" s="2" t="s">
        <v>19</v>
      </c>
      <c r="B113" s="3">
        <f>2798819</f>
        <v>2798819</v>
      </c>
      <c r="C113" s="3">
        <f>0</f>
        <v>0</v>
      </c>
      <c r="D113" s="3">
        <f>0</f>
        <v>0</v>
      </c>
      <c r="E113" s="3">
        <f>(2798819+0+0)</f>
        <v>2798819</v>
      </c>
      <c r="F113" s="3">
        <f>0</f>
        <v>0</v>
      </c>
      <c r="G113" s="3">
        <f>1149943</f>
        <v>1149943</v>
      </c>
      <c r="H113" s="3">
        <f>(0+1149943)</f>
        <v>1149943</v>
      </c>
      <c r="I113" s="3">
        <f>((2798819+0+0)-(0+1149943))</f>
        <v>1648876</v>
      </c>
    </row>
    <row r="114" spans="1:9" ht="14" x14ac:dyDescent="0.3">
      <c r="A114" s="2" t="s">
        <v>20</v>
      </c>
      <c r="B114" s="3">
        <f>500</f>
        <v>500</v>
      </c>
      <c r="C114" s="3">
        <f>0</f>
        <v>0</v>
      </c>
      <c r="D114" s="3">
        <f>0</f>
        <v>0</v>
      </c>
      <c r="E114" s="3">
        <f>(500+0+0)</f>
        <v>500</v>
      </c>
      <c r="F114" s="3">
        <f>0</f>
        <v>0</v>
      </c>
      <c r="G114" s="3">
        <f>0</f>
        <v>0</v>
      </c>
      <c r="H114" s="3">
        <f>(0+0)</f>
        <v>0</v>
      </c>
      <c r="I114" s="3">
        <f>((500+0+0)-(0+0))</f>
        <v>500</v>
      </c>
    </row>
    <row r="115" spans="1:9" ht="14" x14ac:dyDescent="0.3">
      <c r="A115" s="2" t="s">
        <v>21</v>
      </c>
      <c r="B115" s="3">
        <f>0</f>
        <v>0</v>
      </c>
      <c r="C115" s="3">
        <f>0</f>
        <v>0</v>
      </c>
      <c r="D115" s="3">
        <f>0</f>
        <v>0</v>
      </c>
      <c r="E115" s="3">
        <f>(0+0+0)</f>
        <v>0</v>
      </c>
      <c r="F115" s="3">
        <f>0</f>
        <v>0</v>
      </c>
      <c r="G115" s="3">
        <f>0</f>
        <v>0</v>
      </c>
      <c r="H115" s="3">
        <f>(0+0)</f>
        <v>0</v>
      </c>
      <c r="I115" s="3">
        <f>((0+0+0)-(0+0))</f>
        <v>0</v>
      </c>
    </row>
    <row r="116" spans="1:9" ht="14" x14ac:dyDescent="0.3">
      <c r="A116" s="2" t="s">
        <v>22</v>
      </c>
      <c r="B116" s="3">
        <f>4600217</f>
        <v>4600217</v>
      </c>
      <c r="C116" s="3">
        <f>0</f>
        <v>0</v>
      </c>
      <c r="D116" s="3">
        <f>0</f>
        <v>0</v>
      </c>
      <c r="E116" s="3">
        <f>(4600217+0+0)</f>
        <v>4600217</v>
      </c>
      <c r="F116" s="3">
        <f>0</f>
        <v>0</v>
      </c>
      <c r="G116" s="3">
        <f>141080</f>
        <v>141080</v>
      </c>
      <c r="H116" s="3">
        <f>(0+141080)</f>
        <v>141080</v>
      </c>
      <c r="I116" s="3">
        <f>((4600217+0+0)-(0+141080))</f>
        <v>4459137</v>
      </c>
    </row>
    <row r="117" spans="1:9" ht="14" x14ac:dyDescent="0.3">
      <c r="A117" s="2" t="s">
        <v>23</v>
      </c>
      <c r="B117" s="3">
        <f>7977</f>
        <v>7977</v>
      </c>
      <c r="C117" s="3">
        <f>0</f>
        <v>0</v>
      </c>
      <c r="D117" s="3">
        <f>0</f>
        <v>0</v>
      </c>
      <c r="E117" s="3">
        <f>(7977+0+0)</f>
        <v>7977</v>
      </c>
      <c r="F117" s="3">
        <f>0</f>
        <v>0</v>
      </c>
      <c r="G117" s="3">
        <f>(-1117)</f>
        <v>-1117</v>
      </c>
      <c r="H117" s="3">
        <f>(0+(-1117))</f>
        <v>-1117</v>
      </c>
      <c r="I117" s="3">
        <f>((7977+0+0)-(0+(-1117)))</f>
        <v>9094</v>
      </c>
    </row>
    <row r="118" spans="1:9" ht="14" x14ac:dyDescent="0.3">
      <c r="A118" s="2" t="s">
        <v>24</v>
      </c>
      <c r="B118" s="3">
        <f>2135157</f>
        <v>2135157</v>
      </c>
      <c r="C118" s="3">
        <f>0</f>
        <v>0</v>
      </c>
      <c r="D118" s="3">
        <f>0</f>
        <v>0</v>
      </c>
      <c r="E118" s="3">
        <f>(2135157+0+0)</f>
        <v>2135157</v>
      </c>
      <c r="F118" s="3">
        <f>0</f>
        <v>0</v>
      </c>
      <c r="G118" s="3">
        <f>850896</f>
        <v>850896</v>
      </c>
      <c r="H118" s="3">
        <f>(0+850896)</f>
        <v>850896</v>
      </c>
      <c r="I118" s="3">
        <f>((2135157+0+0)-(0+850896))</f>
        <v>1284261</v>
      </c>
    </row>
    <row r="119" spans="1:9" ht="14" x14ac:dyDescent="0.3">
      <c r="A119" s="2" t="s">
        <v>25</v>
      </c>
      <c r="B119" s="3">
        <f>0</f>
        <v>0</v>
      </c>
      <c r="C119" s="3">
        <f>0</f>
        <v>0</v>
      </c>
      <c r="D119" s="3">
        <f>0</f>
        <v>0</v>
      </c>
      <c r="E119" s="3">
        <f>(0+0+0)</f>
        <v>0</v>
      </c>
      <c r="F119" s="3">
        <f>0</f>
        <v>0</v>
      </c>
      <c r="G119" s="3">
        <f>0</f>
        <v>0</v>
      </c>
      <c r="H119" s="3">
        <f>(0+0)</f>
        <v>0</v>
      </c>
      <c r="I119" s="3">
        <f>((0+0+0)-(0+0))</f>
        <v>0</v>
      </c>
    </row>
    <row r="120" spans="1:9" ht="14" x14ac:dyDescent="0.3">
      <c r="A120" s="2" t="s">
        <v>26</v>
      </c>
      <c r="B120" s="3">
        <f>1951881</f>
        <v>1951881</v>
      </c>
      <c r="C120" s="3">
        <f>0</f>
        <v>0</v>
      </c>
      <c r="D120" s="3">
        <f>0</f>
        <v>0</v>
      </c>
      <c r="E120" s="3">
        <f>(1951881+0+0)</f>
        <v>1951881</v>
      </c>
      <c r="F120" s="3">
        <f>0</f>
        <v>0</v>
      </c>
      <c r="G120" s="3">
        <f>0</f>
        <v>0</v>
      </c>
      <c r="H120" s="3">
        <f>(0+0)</f>
        <v>0</v>
      </c>
      <c r="I120" s="3">
        <f>((1951881+0+0)-(0+0))</f>
        <v>1951881</v>
      </c>
    </row>
    <row r="121" spans="1:9" ht="14" x14ac:dyDescent="0.3">
      <c r="A121" s="5" t="s">
        <v>32</v>
      </c>
      <c r="B121" s="5"/>
      <c r="C121" s="5"/>
      <c r="D121" s="5"/>
      <c r="E121" s="5"/>
      <c r="F121" s="5"/>
      <c r="G121" s="5"/>
      <c r="H121" s="5"/>
      <c r="I121" s="5"/>
    </row>
    <row r="122" spans="1:9" ht="14" x14ac:dyDescent="0.3">
      <c r="A122" s="4" t="s">
        <v>1</v>
      </c>
      <c r="B122" s="1" t="s">
        <v>2</v>
      </c>
      <c r="C122" s="1" t="s">
        <v>3</v>
      </c>
      <c r="D122" s="1" t="s">
        <v>4</v>
      </c>
      <c r="E122" s="1" t="s">
        <v>5</v>
      </c>
      <c r="F122" s="1" t="s">
        <v>6</v>
      </c>
      <c r="G122" s="1" t="s">
        <v>7</v>
      </c>
      <c r="H122" s="1" t="s">
        <v>8</v>
      </c>
      <c r="I122" s="1" t="s">
        <v>9</v>
      </c>
    </row>
    <row r="123" spans="1:9" ht="14" x14ac:dyDescent="0.3">
      <c r="A123" s="4"/>
      <c r="B123" s="1">
        <v>2023</v>
      </c>
      <c r="C123" s="1">
        <v>2023</v>
      </c>
      <c r="D123" s="1">
        <v>2023</v>
      </c>
      <c r="E123" s="1">
        <v>2023</v>
      </c>
      <c r="F123" s="1">
        <v>2023</v>
      </c>
      <c r="G123" s="1">
        <v>2023</v>
      </c>
      <c r="H123" s="1">
        <v>2023</v>
      </c>
      <c r="I123" s="1">
        <v>2023</v>
      </c>
    </row>
    <row r="124" spans="1:9" ht="14" x14ac:dyDescent="0.3">
      <c r="A124" s="2" t="s">
        <v>10</v>
      </c>
      <c r="B124" s="3">
        <f>156582</f>
        <v>156582</v>
      </c>
      <c r="C124" s="3">
        <f>0</f>
        <v>0</v>
      </c>
      <c r="D124" s="3">
        <f>0</f>
        <v>0</v>
      </c>
      <c r="E124" s="3">
        <f>(156582+0+0)</f>
        <v>156582</v>
      </c>
      <c r="F124" s="3">
        <f>0</f>
        <v>0</v>
      </c>
      <c r="G124" s="3">
        <f>80339</f>
        <v>80339</v>
      </c>
      <c r="H124" s="3">
        <f>(0+80339)</f>
        <v>80339</v>
      </c>
      <c r="I124" s="3">
        <f>((156582+0+0)-(0+80339))</f>
        <v>76243</v>
      </c>
    </row>
    <row r="125" spans="1:9" ht="14" x14ac:dyDescent="0.3">
      <c r="A125" s="2" t="s">
        <v>11</v>
      </c>
      <c r="B125" s="3">
        <f>0</f>
        <v>0</v>
      </c>
      <c r="C125" s="3">
        <f>0</f>
        <v>0</v>
      </c>
      <c r="D125" s="3">
        <f>0</f>
        <v>0</v>
      </c>
      <c r="E125" s="3">
        <f>(0+0+0)</f>
        <v>0</v>
      </c>
      <c r="F125" s="3">
        <f>0</f>
        <v>0</v>
      </c>
      <c r="G125" s="3">
        <f>0</f>
        <v>0</v>
      </c>
      <c r="H125" s="3">
        <f>(0+0)</f>
        <v>0</v>
      </c>
      <c r="I125" s="3">
        <f>((0+0+0)-(0+0))</f>
        <v>0</v>
      </c>
    </row>
    <row r="126" spans="1:9" ht="14" x14ac:dyDescent="0.3">
      <c r="A126" s="2" t="s">
        <v>12</v>
      </c>
      <c r="B126" s="3">
        <f>145485</f>
        <v>145485</v>
      </c>
      <c r="C126" s="3">
        <f>0</f>
        <v>0</v>
      </c>
      <c r="D126" s="3">
        <f>0</f>
        <v>0</v>
      </c>
      <c r="E126" s="3">
        <f>(145485+0+0)</f>
        <v>145485</v>
      </c>
      <c r="F126" s="3">
        <f>0</f>
        <v>0</v>
      </c>
      <c r="G126" s="3">
        <f>124685</f>
        <v>124685</v>
      </c>
      <c r="H126" s="3">
        <f>(0+124685)</f>
        <v>124685</v>
      </c>
      <c r="I126" s="3">
        <f>((145485+0+0)-(0+124685))</f>
        <v>20800</v>
      </c>
    </row>
    <row r="127" spans="1:9" ht="14" x14ac:dyDescent="0.3">
      <c r="A127" s="2" t="s">
        <v>13</v>
      </c>
      <c r="B127" s="3">
        <f>86734</f>
        <v>86734</v>
      </c>
      <c r="C127" s="3">
        <f>0</f>
        <v>0</v>
      </c>
      <c r="D127" s="3">
        <f>0</f>
        <v>0</v>
      </c>
      <c r="E127" s="3">
        <f>(86734+0+0)</f>
        <v>86734</v>
      </c>
      <c r="F127" s="3">
        <f>(-1000)</f>
        <v>-1000</v>
      </c>
      <c r="G127" s="3">
        <f>1000</f>
        <v>1000</v>
      </c>
      <c r="H127" s="3">
        <f>((-1000)+1000)</f>
        <v>0</v>
      </c>
      <c r="I127" s="3">
        <f>((86734+0+0)-((-1000)+1000))</f>
        <v>86734</v>
      </c>
    </row>
    <row r="128" spans="1:9" ht="14" x14ac:dyDescent="0.3">
      <c r="A128" s="2" t="s">
        <v>14</v>
      </c>
      <c r="B128" s="3">
        <f>(-65283)</f>
        <v>-65283</v>
      </c>
      <c r="C128" s="3">
        <f>0</f>
        <v>0</v>
      </c>
      <c r="D128" s="3">
        <f>0</f>
        <v>0</v>
      </c>
      <c r="E128" s="3">
        <f>((-65283)+0+0)</f>
        <v>-65283</v>
      </c>
      <c r="F128" s="3">
        <f>0</f>
        <v>0</v>
      </c>
      <c r="G128" s="3">
        <f>(-6393)</f>
        <v>-6393</v>
      </c>
      <c r="H128" s="3">
        <f>(0+(-6393))</f>
        <v>-6393</v>
      </c>
      <c r="I128" s="3">
        <f>(((-65283)+0+0)-(0+(-6393)))</f>
        <v>-58890</v>
      </c>
    </row>
    <row r="129" spans="1:9" ht="14" x14ac:dyDescent="0.3">
      <c r="A129" s="2" t="s">
        <v>15</v>
      </c>
      <c r="B129" s="3">
        <f>(-7034)</f>
        <v>-7034</v>
      </c>
      <c r="C129" s="3">
        <f>0</f>
        <v>0</v>
      </c>
      <c r="D129" s="3">
        <f>0</f>
        <v>0</v>
      </c>
      <c r="E129" s="3">
        <f>((-7034)+0+0)</f>
        <v>-7034</v>
      </c>
      <c r="F129" s="3">
        <f>0</f>
        <v>0</v>
      </c>
      <c r="G129" s="3">
        <f>(-60311)</f>
        <v>-60311</v>
      </c>
      <c r="H129" s="3">
        <f>(0+(-60311))</f>
        <v>-60311</v>
      </c>
      <c r="I129" s="3">
        <f>(((-7034)+0+0)-(0+(-60311)))</f>
        <v>53277</v>
      </c>
    </row>
    <row r="130" spans="1:9" ht="14" x14ac:dyDescent="0.3">
      <c r="A130" s="2" t="s">
        <v>16</v>
      </c>
      <c r="B130" s="3">
        <f>176305</f>
        <v>176305</v>
      </c>
      <c r="C130" s="3">
        <f>0</f>
        <v>0</v>
      </c>
      <c r="D130" s="3">
        <f>0</f>
        <v>0</v>
      </c>
      <c r="E130" s="3">
        <f>(176305+0+0)</f>
        <v>176305</v>
      </c>
      <c r="F130" s="3">
        <f>10054</f>
        <v>10054</v>
      </c>
      <c r="G130" s="3">
        <f>18215</f>
        <v>18215</v>
      </c>
      <c r="H130" s="3">
        <f>(10054+18215)</f>
        <v>28269</v>
      </c>
      <c r="I130" s="3">
        <f>((176305+0+0)-(10054+18215))</f>
        <v>148036</v>
      </c>
    </row>
    <row r="131" spans="1:9" ht="14" x14ac:dyDescent="0.3">
      <c r="A131" s="2" t="s">
        <v>17</v>
      </c>
      <c r="B131" s="3">
        <f>3463</f>
        <v>3463</v>
      </c>
      <c r="C131" s="3">
        <f>0</f>
        <v>0</v>
      </c>
      <c r="D131" s="3">
        <f>0</f>
        <v>0</v>
      </c>
      <c r="E131" s="3">
        <f>(3463+0+0)</f>
        <v>3463</v>
      </c>
      <c r="F131" s="3">
        <f>0</f>
        <v>0</v>
      </c>
      <c r="G131" s="3">
        <f>0</f>
        <v>0</v>
      </c>
      <c r="H131" s="3">
        <f>(0+0)</f>
        <v>0</v>
      </c>
      <c r="I131" s="3">
        <f>((3463+0+0)-(0+0))</f>
        <v>3463</v>
      </c>
    </row>
    <row r="132" spans="1:9" ht="14" x14ac:dyDescent="0.3">
      <c r="A132" s="2" t="s">
        <v>18</v>
      </c>
      <c r="B132" s="3">
        <f>(-3100)</f>
        <v>-3100</v>
      </c>
      <c r="C132" s="3">
        <f>0</f>
        <v>0</v>
      </c>
      <c r="D132" s="3">
        <f>0</f>
        <v>0</v>
      </c>
      <c r="E132" s="3">
        <f>((-3100)+0+0)</f>
        <v>-3100</v>
      </c>
      <c r="F132" s="3">
        <f>0</f>
        <v>0</v>
      </c>
      <c r="G132" s="3">
        <f>(-13)</f>
        <v>-13</v>
      </c>
      <c r="H132" s="3">
        <f>(0+(-13))</f>
        <v>-13</v>
      </c>
      <c r="I132" s="3">
        <f>(((-3100)+0+0)-(0+(-13)))</f>
        <v>-3087</v>
      </c>
    </row>
    <row r="133" spans="1:9" ht="14" x14ac:dyDescent="0.3">
      <c r="A133" s="2" t="s">
        <v>19</v>
      </c>
      <c r="B133" s="3">
        <f>(-1647375)</f>
        <v>-1647375</v>
      </c>
      <c r="C133" s="3">
        <f>0</f>
        <v>0</v>
      </c>
      <c r="D133" s="3">
        <f>0</f>
        <v>0</v>
      </c>
      <c r="E133" s="3">
        <f>((-1647375)+0+0)</f>
        <v>-1647375</v>
      </c>
      <c r="F133" s="3">
        <f>0</f>
        <v>0</v>
      </c>
      <c r="G133" s="3">
        <f>(-1621375)</f>
        <v>-1621375</v>
      </c>
      <c r="H133" s="3">
        <f>(0+(-1621375))</f>
        <v>-1621375</v>
      </c>
      <c r="I133" s="3">
        <f>(((-1647375)+0+0)-(0+(-1621375)))</f>
        <v>-26000</v>
      </c>
    </row>
    <row r="134" spans="1:9" ht="14" x14ac:dyDescent="0.3">
      <c r="A134" s="2" t="s">
        <v>20</v>
      </c>
      <c r="B134" s="3">
        <f>21183</f>
        <v>21183</v>
      </c>
      <c r="C134" s="3">
        <f>0</f>
        <v>0</v>
      </c>
      <c r="D134" s="3">
        <f>0</f>
        <v>0</v>
      </c>
      <c r="E134" s="3">
        <f>(21183+0+0)</f>
        <v>21183</v>
      </c>
      <c r="F134" s="3">
        <f>0</f>
        <v>0</v>
      </c>
      <c r="G134" s="3">
        <f>9595</f>
        <v>9595</v>
      </c>
      <c r="H134" s="3">
        <f>(0+9595)</f>
        <v>9595</v>
      </c>
      <c r="I134" s="3">
        <f>((21183+0+0)-(0+9595))</f>
        <v>11588</v>
      </c>
    </row>
    <row r="135" spans="1:9" ht="14" x14ac:dyDescent="0.3">
      <c r="A135" s="2" t="s">
        <v>21</v>
      </c>
      <c r="B135" s="3">
        <f>0</f>
        <v>0</v>
      </c>
      <c r="C135" s="3">
        <f>0</f>
        <v>0</v>
      </c>
      <c r="D135" s="3">
        <f>0</f>
        <v>0</v>
      </c>
      <c r="E135" s="3">
        <f>(0+0+0)</f>
        <v>0</v>
      </c>
      <c r="F135" s="3">
        <f>0</f>
        <v>0</v>
      </c>
      <c r="G135" s="3">
        <f>0</f>
        <v>0</v>
      </c>
      <c r="H135" s="3">
        <f>(0+0)</f>
        <v>0</v>
      </c>
      <c r="I135" s="3">
        <f>((0+0+0)-(0+0))</f>
        <v>0</v>
      </c>
    </row>
    <row r="136" spans="1:9" ht="14" x14ac:dyDescent="0.3">
      <c r="A136" s="2" t="s">
        <v>22</v>
      </c>
      <c r="B136" s="3">
        <f>149238</f>
        <v>149238</v>
      </c>
      <c r="C136" s="3">
        <f>0</f>
        <v>0</v>
      </c>
      <c r="D136" s="3">
        <f>0</f>
        <v>0</v>
      </c>
      <c r="E136" s="3">
        <f>(149238+0+0)</f>
        <v>149238</v>
      </c>
      <c r="F136" s="3">
        <f>0</f>
        <v>0</v>
      </c>
      <c r="G136" s="3">
        <f>125009</f>
        <v>125009</v>
      </c>
      <c r="H136" s="3">
        <f>(0+125009)</f>
        <v>125009</v>
      </c>
      <c r="I136" s="3">
        <f>((149238+0+0)-(0+125009))</f>
        <v>24229</v>
      </c>
    </row>
    <row r="137" spans="1:9" ht="14" x14ac:dyDescent="0.3">
      <c r="A137" s="2" t="s">
        <v>23</v>
      </c>
      <c r="B137" s="3">
        <f>(-19059)</f>
        <v>-19059</v>
      </c>
      <c r="C137" s="3">
        <f>0</f>
        <v>0</v>
      </c>
      <c r="D137" s="3">
        <f>0</f>
        <v>0</v>
      </c>
      <c r="E137" s="3">
        <f>((-19059)+0+0)</f>
        <v>-19059</v>
      </c>
      <c r="F137" s="3">
        <f>0</f>
        <v>0</v>
      </c>
      <c r="G137" s="3">
        <f>(-26059)</f>
        <v>-26059</v>
      </c>
      <c r="H137" s="3">
        <f>(0+(-26059))</f>
        <v>-26059</v>
      </c>
      <c r="I137" s="3">
        <f>(((-19059)+0+0)-(0+(-26059)))</f>
        <v>7000</v>
      </c>
    </row>
    <row r="138" spans="1:9" ht="14" x14ac:dyDescent="0.3">
      <c r="A138" s="2" t="s">
        <v>24</v>
      </c>
      <c r="B138" s="3">
        <f>38581</f>
        <v>38581</v>
      </c>
      <c r="C138" s="3">
        <f>0</f>
        <v>0</v>
      </c>
      <c r="D138" s="3">
        <f>0</f>
        <v>0</v>
      </c>
      <c r="E138" s="3">
        <f>(38581+0+0)</f>
        <v>38581</v>
      </c>
      <c r="F138" s="3">
        <f>0</f>
        <v>0</v>
      </c>
      <c r="G138" s="3">
        <f>6761</f>
        <v>6761</v>
      </c>
      <c r="H138" s="3">
        <f>(0+6761)</f>
        <v>6761</v>
      </c>
      <c r="I138" s="3">
        <f>((38581+0+0)-(0+6761))</f>
        <v>31820</v>
      </c>
    </row>
    <row r="139" spans="1:9" ht="14" x14ac:dyDescent="0.3">
      <c r="A139" s="2" t="s">
        <v>25</v>
      </c>
      <c r="B139" s="3">
        <f>125789</f>
        <v>125789</v>
      </c>
      <c r="C139" s="3">
        <f>0</f>
        <v>0</v>
      </c>
      <c r="D139" s="3">
        <f>0</f>
        <v>0</v>
      </c>
      <c r="E139" s="3">
        <f>(125789+0+0)</f>
        <v>125789</v>
      </c>
      <c r="F139" s="3">
        <f>0</f>
        <v>0</v>
      </c>
      <c r="G139" s="3">
        <f>14291</f>
        <v>14291</v>
      </c>
      <c r="H139" s="3">
        <f>(0+14291)</f>
        <v>14291</v>
      </c>
      <c r="I139" s="3">
        <f>((125789+0+0)-(0+14291))</f>
        <v>111498</v>
      </c>
    </row>
    <row r="140" spans="1:9" ht="14" x14ac:dyDescent="0.3">
      <c r="A140" s="2" t="s">
        <v>26</v>
      </c>
      <c r="B140" s="3">
        <f>(-94948)</f>
        <v>-94948</v>
      </c>
      <c r="C140" s="3">
        <f>0</f>
        <v>0</v>
      </c>
      <c r="D140" s="3">
        <f>0</f>
        <v>0</v>
      </c>
      <c r="E140" s="3">
        <f>((-94948)+0+0)</f>
        <v>-94948</v>
      </c>
      <c r="F140" s="3">
        <f>0</f>
        <v>0</v>
      </c>
      <c r="G140" s="3">
        <f>11411</f>
        <v>11411</v>
      </c>
      <c r="H140" s="3">
        <f>(0+11411)</f>
        <v>11411</v>
      </c>
      <c r="I140" s="3">
        <f>(((-94948)+0+0)-(0+11411))</f>
        <v>-106359</v>
      </c>
    </row>
    <row r="141" spans="1:9" ht="14" x14ac:dyDescent="0.3">
      <c r="A141" s="5" t="s">
        <v>33</v>
      </c>
      <c r="B141" s="5"/>
      <c r="C141" s="5"/>
      <c r="D141" s="5"/>
      <c r="E141" s="5"/>
      <c r="F141" s="5"/>
      <c r="G141" s="5"/>
      <c r="H141" s="5"/>
      <c r="I141" s="5"/>
    </row>
    <row r="142" spans="1:9" ht="14" x14ac:dyDescent="0.3">
      <c r="A142" s="4" t="s">
        <v>1</v>
      </c>
      <c r="B142" s="1" t="s">
        <v>2</v>
      </c>
      <c r="C142" s="1" t="s">
        <v>3</v>
      </c>
      <c r="D142" s="1" t="s">
        <v>4</v>
      </c>
      <c r="E142" s="1" t="s">
        <v>5</v>
      </c>
      <c r="F142" s="1" t="s">
        <v>6</v>
      </c>
      <c r="G142" s="1" t="s">
        <v>7</v>
      </c>
      <c r="H142" s="1" t="s">
        <v>8</v>
      </c>
      <c r="I142" s="1" t="s">
        <v>9</v>
      </c>
    </row>
    <row r="143" spans="1:9" ht="14" x14ac:dyDescent="0.3">
      <c r="A143" s="4"/>
      <c r="B143" s="1">
        <v>2023</v>
      </c>
      <c r="C143" s="1">
        <v>2023</v>
      </c>
      <c r="D143" s="1">
        <v>2023</v>
      </c>
      <c r="E143" s="1">
        <v>2023</v>
      </c>
      <c r="F143" s="1">
        <v>2023</v>
      </c>
      <c r="G143" s="1">
        <v>2023</v>
      </c>
      <c r="H143" s="1">
        <v>2023</v>
      </c>
      <c r="I143" s="1">
        <v>2023</v>
      </c>
    </row>
    <row r="144" spans="1:9" ht="14" x14ac:dyDescent="0.3">
      <c r="A144" s="2" t="s">
        <v>10</v>
      </c>
      <c r="B144" s="3">
        <f>5286041</f>
        <v>5286041</v>
      </c>
      <c r="C144" s="3">
        <f>0</f>
        <v>0</v>
      </c>
      <c r="D144" s="3">
        <f>0</f>
        <v>0</v>
      </c>
      <c r="E144" s="3">
        <f>(5286041+0+0)</f>
        <v>5286041</v>
      </c>
      <c r="F144" s="3">
        <f>0</f>
        <v>0</v>
      </c>
      <c r="G144" s="3">
        <f>512894</f>
        <v>512894</v>
      </c>
      <c r="H144" s="3">
        <f>(0+512894)</f>
        <v>512894</v>
      </c>
      <c r="I144" s="3">
        <f>((5286041+0+0)-(0+512894))</f>
        <v>4773147</v>
      </c>
    </row>
    <row r="145" spans="1:9" ht="14" x14ac:dyDescent="0.3">
      <c r="A145" s="2" t="s">
        <v>11</v>
      </c>
      <c r="B145" s="3">
        <f>0</f>
        <v>0</v>
      </c>
      <c r="C145" s="3">
        <f>0</f>
        <v>0</v>
      </c>
      <c r="D145" s="3">
        <f>0</f>
        <v>0</v>
      </c>
      <c r="E145" s="3">
        <f>(0+0+0)</f>
        <v>0</v>
      </c>
      <c r="F145" s="3">
        <f>0</f>
        <v>0</v>
      </c>
      <c r="G145" s="3">
        <f>0</f>
        <v>0</v>
      </c>
      <c r="H145" s="3">
        <f>(0+0)</f>
        <v>0</v>
      </c>
      <c r="I145" s="3">
        <f>((0+0+0)-(0+0))</f>
        <v>0</v>
      </c>
    </row>
    <row r="146" spans="1:9" ht="14" x14ac:dyDescent="0.3">
      <c r="A146" s="2" t="s">
        <v>12</v>
      </c>
      <c r="B146" s="3">
        <f>(-3715235)</f>
        <v>-3715235</v>
      </c>
      <c r="C146" s="3">
        <f>43377</f>
        <v>43377</v>
      </c>
      <c r="D146" s="3">
        <f>0</f>
        <v>0</v>
      </c>
      <c r="E146" s="3">
        <f>((-3715235)+43377+0)</f>
        <v>-3671858</v>
      </c>
      <c r="F146" s="3">
        <f>2500</f>
        <v>2500</v>
      </c>
      <c r="G146" s="3">
        <f>(-3645394)</f>
        <v>-3645394</v>
      </c>
      <c r="H146" s="3">
        <f>(2500+(-3645394))</f>
        <v>-3642894</v>
      </c>
      <c r="I146" s="3">
        <f>(((-3715235)+43377+0)-(2500+(-3645394)))</f>
        <v>-28964</v>
      </c>
    </row>
    <row r="147" spans="1:9" ht="14" x14ac:dyDescent="0.3">
      <c r="A147" s="2" t="s">
        <v>13</v>
      </c>
      <c r="B147" s="3">
        <f>303105</f>
        <v>303105</v>
      </c>
      <c r="C147" s="3">
        <f>7875</f>
        <v>7875</v>
      </c>
      <c r="D147" s="3">
        <f>0</f>
        <v>0</v>
      </c>
      <c r="E147" s="3">
        <f>(303105+7875+0)</f>
        <v>310980</v>
      </c>
      <c r="F147" s="3">
        <f>(-2199)</f>
        <v>-2199</v>
      </c>
      <c r="G147" s="3">
        <f>(-67471)</f>
        <v>-67471</v>
      </c>
      <c r="H147" s="3">
        <f>((-2199)+(-67471))</f>
        <v>-69670</v>
      </c>
      <c r="I147" s="3">
        <f>((303105+7875+0)-((-2199)+(-67471)))</f>
        <v>380650</v>
      </c>
    </row>
    <row r="148" spans="1:9" ht="14" x14ac:dyDescent="0.3">
      <c r="A148" s="2" t="s">
        <v>14</v>
      </c>
      <c r="B148" s="3">
        <f>(-341244)</f>
        <v>-341244</v>
      </c>
      <c r="C148" s="3">
        <f>0</f>
        <v>0</v>
      </c>
      <c r="D148" s="3">
        <f>0</f>
        <v>0</v>
      </c>
      <c r="E148" s="3">
        <f>((-341244)+0+0)</f>
        <v>-341244</v>
      </c>
      <c r="F148" s="3">
        <f>0</f>
        <v>0</v>
      </c>
      <c r="G148" s="3">
        <f>(-258658)</f>
        <v>-258658</v>
      </c>
      <c r="H148" s="3">
        <f>(0+(-258658))</f>
        <v>-258658</v>
      </c>
      <c r="I148" s="3">
        <f>(((-341244)+0+0)-(0+(-258658)))</f>
        <v>-82586</v>
      </c>
    </row>
    <row r="149" spans="1:9" ht="14" x14ac:dyDescent="0.3">
      <c r="A149" s="2" t="s">
        <v>15</v>
      </c>
      <c r="B149" s="3">
        <f>18371857</f>
        <v>18371857</v>
      </c>
      <c r="C149" s="3">
        <f>0</f>
        <v>0</v>
      </c>
      <c r="D149" s="3">
        <f>0</f>
        <v>0</v>
      </c>
      <c r="E149" s="3">
        <f>(18371857+0+0)</f>
        <v>18371857</v>
      </c>
      <c r="F149" s="3">
        <f>0</f>
        <v>0</v>
      </c>
      <c r="G149" s="3">
        <f>18054015</f>
        <v>18054015</v>
      </c>
      <c r="H149" s="3">
        <f>(0+18054015)</f>
        <v>18054015</v>
      </c>
      <c r="I149" s="3">
        <f>((18371857+0+0)-(0+18054015))</f>
        <v>317842</v>
      </c>
    </row>
    <row r="150" spans="1:9" ht="14" x14ac:dyDescent="0.3">
      <c r="A150" s="2" t="s">
        <v>16</v>
      </c>
      <c r="B150" s="3">
        <f>41827</f>
        <v>41827</v>
      </c>
      <c r="C150" s="3">
        <f>0</f>
        <v>0</v>
      </c>
      <c r="D150" s="3">
        <f>0</f>
        <v>0</v>
      </c>
      <c r="E150" s="3">
        <f>(41827+0+0)</f>
        <v>41827</v>
      </c>
      <c r="F150" s="3">
        <f>16853</f>
        <v>16853</v>
      </c>
      <c r="G150" s="3">
        <f>15989</f>
        <v>15989</v>
      </c>
      <c r="H150" s="3">
        <f>(16853+15989)</f>
        <v>32842</v>
      </c>
      <c r="I150" s="3">
        <f>((41827+0+0)-(16853+15989))</f>
        <v>8985</v>
      </c>
    </row>
    <row r="151" spans="1:9" ht="14" x14ac:dyDescent="0.3">
      <c r="A151" s="2" t="s">
        <v>17</v>
      </c>
      <c r="B151" s="3">
        <f>10835</f>
        <v>10835</v>
      </c>
      <c r="C151" s="3">
        <f>(-4963)</f>
        <v>-4963</v>
      </c>
      <c r="D151" s="3">
        <f>0</f>
        <v>0</v>
      </c>
      <c r="E151" s="3">
        <f>(10835+(-4963)+0)</f>
        <v>5872</v>
      </c>
      <c r="F151" s="3">
        <f>0</f>
        <v>0</v>
      </c>
      <c r="G151" s="3">
        <f>0</f>
        <v>0</v>
      </c>
      <c r="H151" s="3">
        <f>(0+0)</f>
        <v>0</v>
      </c>
      <c r="I151" s="3">
        <f>((10835+(-4963)+0)-(0+0))</f>
        <v>5872</v>
      </c>
    </row>
    <row r="152" spans="1:9" ht="14" x14ac:dyDescent="0.3">
      <c r="A152" s="2" t="s">
        <v>18</v>
      </c>
      <c r="B152" s="3">
        <f>(-66448)</f>
        <v>-66448</v>
      </c>
      <c r="C152" s="3">
        <f>783</f>
        <v>783</v>
      </c>
      <c r="D152" s="3">
        <f>0</f>
        <v>0</v>
      </c>
      <c r="E152" s="3">
        <f>((-66448)+783+0)</f>
        <v>-65665</v>
      </c>
      <c r="F152" s="3">
        <f>(-3515)</f>
        <v>-3515</v>
      </c>
      <c r="G152" s="3">
        <f>(-42689)</f>
        <v>-42689</v>
      </c>
      <c r="H152" s="3">
        <f>((-3515)+(-42689))</f>
        <v>-46204</v>
      </c>
      <c r="I152" s="3">
        <f>(((-66448)+783+0)-((-3515)+(-42689)))</f>
        <v>-19461</v>
      </c>
    </row>
    <row r="153" spans="1:9" ht="14" x14ac:dyDescent="0.3">
      <c r="A153" s="2" t="s">
        <v>19</v>
      </c>
      <c r="B153" s="3">
        <f>1019406</f>
        <v>1019406</v>
      </c>
      <c r="C153" s="3">
        <f>512</f>
        <v>512</v>
      </c>
      <c r="D153" s="3">
        <f>0</f>
        <v>0</v>
      </c>
      <c r="E153" s="3">
        <f>(1019406+512+0)</f>
        <v>1019918</v>
      </c>
      <c r="F153" s="3">
        <f>30405</f>
        <v>30405</v>
      </c>
      <c r="G153" s="3">
        <f>993229</f>
        <v>993229</v>
      </c>
      <c r="H153" s="3">
        <f>(30405+993229)</f>
        <v>1023634</v>
      </c>
      <c r="I153" s="3">
        <f>((1019406+512+0)-(30405+993229))</f>
        <v>-3716</v>
      </c>
    </row>
    <row r="154" spans="1:9" ht="14" x14ac:dyDescent="0.3">
      <c r="A154" s="2" t="s">
        <v>20</v>
      </c>
      <c r="B154" s="3">
        <f>(-120499)</f>
        <v>-120499</v>
      </c>
      <c r="C154" s="3">
        <f>(-1018)</f>
        <v>-1018</v>
      </c>
      <c r="D154" s="3">
        <f>0</f>
        <v>0</v>
      </c>
      <c r="E154" s="3">
        <f>((-120499)+(-1018)+0)</f>
        <v>-121517</v>
      </c>
      <c r="F154" s="3">
        <f>7</f>
        <v>7</v>
      </c>
      <c r="G154" s="3">
        <f>(-106068)</f>
        <v>-106068</v>
      </c>
      <c r="H154" s="3">
        <f>(7+(-106068))</f>
        <v>-106061</v>
      </c>
      <c r="I154" s="3">
        <f>(((-120499)+(-1018)+0)-(7+(-106068)))</f>
        <v>-15456</v>
      </c>
    </row>
    <row r="155" spans="1:9" ht="14" x14ac:dyDescent="0.3">
      <c r="A155" s="2" t="s">
        <v>21</v>
      </c>
      <c r="B155" s="3">
        <f>0</f>
        <v>0</v>
      </c>
      <c r="C155" s="3">
        <f>0</f>
        <v>0</v>
      </c>
      <c r="D155" s="3">
        <f>0</f>
        <v>0</v>
      </c>
      <c r="E155" s="3">
        <f>(0+0+0)</f>
        <v>0</v>
      </c>
      <c r="F155" s="3">
        <f>0</f>
        <v>0</v>
      </c>
      <c r="G155" s="3">
        <f>0</f>
        <v>0</v>
      </c>
      <c r="H155" s="3">
        <f>(0+0)</f>
        <v>0</v>
      </c>
      <c r="I155" s="3">
        <f>((0+0+0)-(0+0))</f>
        <v>0</v>
      </c>
    </row>
    <row r="156" spans="1:9" ht="14" x14ac:dyDescent="0.3">
      <c r="A156" s="2" t="s">
        <v>22</v>
      </c>
      <c r="B156" s="3">
        <f>(-350688)</f>
        <v>-350688</v>
      </c>
      <c r="C156" s="3">
        <f>0</f>
        <v>0</v>
      </c>
      <c r="D156" s="3">
        <f>0</f>
        <v>0</v>
      </c>
      <c r="E156" s="3">
        <f>((-350688)+0+0)</f>
        <v>-350688</v>
      </c>
      <c r="F156" s="3">
        <f>3832</f>
        <v>3832</v>
      </c>
      <c r="G156" s="3">
        <f>(-347674)</f>
        <v>-347674</v>
      </c>
      <c r="H156" s="3">
        <f>(3832+(-347674))</f>
        <v>-343842</v>
      </c>
      <c r="I156" s="3">
        <f>(((-350688)+0+0)-(3832+(-347674)))</f>
        <v>-6846</v>
      </c>
    </row>
    <row r="157" spans="1:9" ht="14" x14ac:dyDescent="0.3">
      <c r="A157" s="2" t="s">
        <v>23</v>
      </c>
      <c r="B157" s="3">
        <f>(-1796149)</f>
        <v>-1796149</v>
      </c>
      <c r="C157" s="3">
        <f>1248461</f>
        <v>1248461</v>
      </c>
      <c r="D157" s="3">
        <f>0</f>
        <v>0</v>
      </c>
      <c r="E157" s="3">
        <f>((-1796149)+1248461+0)</f>
        <v>-547688</v>
      </c>
      <c r="F157" s="3">
        <f>0</f>
        <v>0</v>
      </c>
      <c r="G157" s="3">
        <f>(-753641)</f>
        <v>-753641</v>
      </c>
      <c r="H157" s="3">
        <f>(0+(-753641))</f>
        <v>-753641</v>
      </c>
      <c r="I157" s="3">
        <f>(((-1796149)+1248461+0)-(0+(-753641)))</f>
        <v>205953</v>
      </c>
    </row>
    <row r="158" spans="1:9" ht="14" x14ac:dyDescent="0.3">
      <c r="A158" s="2" t="s">
        <v>24</v>
      </c>
      <c r="B158" s="3">
        <f>416216</f>
        <v>416216</v>
      </c>
      <c r="C158" s="3">
        <f>0</f>
        <v>0</v>
      </c>
      <c r="D158" s="3">
        <f>0</f>
        <v>0</v>
      </c>
      <c r="E158" s="3">
        <f>(416216+0+0)</f>
        <v>416216</v>
      </c>
      <c r="F158" s="3">
        <f>128</f>
        <v>128</v>
      </c>
      <c r="G158" s="3">
        <f>427613</f>
        <v>427613</v>
      </c>
      <c r="H158" s="3">
        <f>(128+427613)</f>
        <v>427741</v>
      </c>
      <c r="I158" s="3">
        <f>((416216+0+0)-(128+427613))</f>
        <v>-11525</v>
      </c>
    </row>
    <row r="159" spans="1:9" ht="14" x14ac:dyDescent="0.3">
      <c r="A159" s="2" t="s">
        <v>25</v>
      </c>
      <c r="B159" s="3">
        <f>934594</f>
        <v>934594</v>
      </c>
      <c r="C159" s="3">
        <f>0</f>
        <v>0</v>
      </c>
      <c r="D159" s="3">
        <f>0</f>
        <v>0</v>
      </c>
      <c r="E159" s="3">
        <f>(934594+0+0)</f>
        <v>934594</v>
      </c>
      <c r="F159" s="3">
        <f>44698</f>
        <v>44698</v>
      </c>
      <c r="G159" s="3">
        <f>440640</f>
        <v>440640</v>
      </c>
      <c r="H159" s="3">
        <f>(44698+440640)</f>
        <v>485338</v>
      </c>
      <c r="I159" s="3">
        <f>((934594+0+0)-(44698+440640))</f>
        <v>449256</v>
      </c>
    </row>
    <row r="160" spans="1:9" ht="14" x14ac:dyDescent="0.3">
      <c r="A160" s="2" t="s">
        <v>26</v>
      </c>
      <c r="B160" s="3">
        <f>(-1160125)</f>
        <v>-1160125</v>
      </c>
      <c r="C160" s="3">
        <f>0</f>
        <v>0</v>
      </c>
      <c r="D160" s="3">
        <f>0</f>
        <v>0</v>
      </c>
      <c r="E160" s="3">
        <f>((-1160125)+0+0)</f>
        <v>-1160125</v>
      </c>
      <c r="F160" s="3">
        <f>4798</f>
        <v>4798</v>
      </c>
      <c r="G160" s="3">
        <f>(-632568)</f>
        <v>-632568</v>
      </c>
      <c r="H160" s="3">
        <f>(4798+(-632568))</f>
        <v>-627770</v>
      </c>
      <c r="I160" s="3">
        <f>(((-1160125)+0+0)-(4798+(-632568)))</f>
        <v>-532355</v>
      </c>
    </row>
    <row r="161" spans="1:9" ht="14" x14ac:dyDescent="0.3">
      <c r="A161" s="5" t="s">
        <v>34</v>
      </c>
      <c r="B161" s="5"/>
      <c r="C161" s="5"/>
      <c r="D161" s="5"/>
      <c r="E161" s="5"/>
      <c r="F161" s="5"/>
      <c r="G161" s="5"/>
      <c r="H161" s="5"/>
      <c r="I161" s="5"/>
    </row>
    <row r="162" spans="1:9" ht="14" x14ac:dyDescent="0.3">
      <c r="A162" s="4" t="s">
        <v>1</v>
      </c>
      <c r="B162" s="1" t="s">
        <v>2</v>
      </c>
      <c r="C162" s="1" t="s">
        <v>3</v>
      </c>
      <c r="D162" s="1" t="s">
        <v>4</v>
      </c>
      <c r="E162" s="1" t="s">
        <v>5</v>
      </c>
      <c r="F162" s="1" t="s">
        <v>6</v>
      </c>
      <c r="G162" s="1" t="s">
        <v>7</v>
      </c>
      <c r="H162" s="1" t="s">
        <v>8</v>
      </c>
      <c r="I162" s="1" t="s">
        <v>9</v>
      </c>
    </row>
    <row r="163" spans="1:9" ht="14" x14ac:dyDescent="0.3">
      <c r="A163" s="4"/>
      <c r="B163" s="1">
        <v>2023</v>
      </c>
      <c r="C163" s="1">
        <v>2023</v>
      </c>
      <c r="D163" s="1">
        <v>2023</v>
      </c>
      <c r="E163" s="1">
        <v>2023</v>
      </c>
      <c r="F163" s="1">
        <v>2023</v>
      </c>
      <c r="G163" s="1">
        <v>2023</v>
      </c>
      <c r="H163" s="1">
        <v>2023</v>
      </c>
      <c r="I163" s="1">
        <v>2023</v>
      </c>
    </row>
    <row r="164" spans="1:9" ht="14" x14ac:dyDescent="0.3">
      <c r="A164" s="2" t="s">
        <v>10</v>
      </c>
      <c r="B164" s="3">
        <f>4700750</f>
        <v>4700750</v>
      </c>
      <c r="C164" s="3">
        <f>0</f>
        <v>0</v>
      </c>
      <c r="D164" s="3">
        <f>0</f>
        <v>0</v>
      </c>
      <c r="E164" s="3">
        <f>(4700750+0+0)</f>
        <v>4700750</v>
      </c>
      <c r="F164" s="3">
        <f>0</f>
        <v>0</v>
      </c>
      <c r="G164" s="3">
        <f>1446430</f>
        <v>1446430</v>
      </c>
      <c r="H164" s="3">
        <f>(0+1446430)</f>
        <v>1446430</v>
      </c>
      <c r="I164" s="3">
        <f>((4700750+0+0)-(0+1446430))</f>
        <v>3254320</v>
      </c>
    </row>
    <row r="165" spans="1:9" ht="14" x14ac:dyDescent="0.3">
      <c r="A165" s="2" t="s">
        <v>11</v>
      </c>
      <c r="B165" s="3">
        <f>2808915</f>
        <v>2808915</v>
      </c>
      <c r="C165" s="3">
        <f>0</f>
        <v>0</v>
      </c>
      <c r="D165" s="3">
        <f>0</f>
        <v>0</v>
      </c>
      <c r="E165" s="3">
        <f>(2808915+0+0)</f>
        <v>2808915</v>
      </c>
      <c r="F165" s="3">
        <f>0</f>
        <v>0</v>
      </c>
      <c r="G165" s="3">
        <f>1540354</f>
        <v>1540354</v>
      </c>
      <c r="H165" s="3">
        <f>(0+1540354)</f>
        <v>1540354</v>
      </c>
      <c r="I165" s="3">
        <f>((2808915+0+0)-(0+1540354))</f>
        <v>1268561</v>
      </c>
    </row>
    <row r="166" spans="1:9" ht="14" x14ac:dyDescent="0.3">
      <c r="A166" s="2" t="s">
        <v>12</v>
      </c>
      <c r="B166" s="3">
        <f>1928619</f>
        <v>1928619</v>
      </c>
      <c r="C166" s="3">
        <f>0</f>
        <v>0</v>
      </c>
      <c r="D166" s="3">
        <f>0</f>
        <v>0</v>
      </c>
      <c r="E166" s="3">
        <f>(1928619+0+0)</f>
        <v>1928619</v>
      </c>
      <c r="F166" s="3">
        <f>0</f>
        <v>0</v>
      </c>
      <c r="G166" s="3">
        <f>1109390</f>
        <v>1109390</v>
      </c>
      <c r="H166" s="3">
        <f>(0+1109390)</f>
        <v>1109390</v>
      </c>
      <c r="I166" s="3">
        <f>((1928619+0+0)-(0+1109390))</f>
        <v>819229</v>
      </c>
    </row>
    <row r="167" spans="1:9" ht="14" x14ac:dyDescent="0.3">
      <c r="A167" s="2" t="s">
        <v>13</v>
      </c>
      <c r="B167" s="3">
        <f>2271530</f>
        <v>2271530</v>
      </c>
      <c r="C167" s="3">
        <f>233407</f>
        <v>233407</v>
      </c>
      <c r="D167" s="3">
        <f>0</f>
        <v>0</v>
      </c>
      <c r="E167" s="3">
        <f>(2271530+233407+0)</f>
        <v>2504937</v>
      </c>
      <c r="F167" s="3">
        <f>0</f>
        <v>0</v>
      </c>
      <c r="G167" s="3">
        <f>0</f>
        <v>0</v>
      </c>
      <c r="H167" s="3">
        <f>(0+0)</f>
        <v>0</v>
      </c>
      <c r="I167" s="3">
        <f>((2271530+233407+0)-(0+0))</f>
        <v>2504937</v>
      </c>
    </row>
    <row r="168" spans="1:9" ht="14" x14ac:dyDescent="0.3">
      <c r="A168" s="2" t="s">
        <v>14</v>
      </c>
      <c r="B168" s="3">
        <f>101276824</f>
        <v>101276824</v>
      </c>
      <c r="C168" s="3">
        <f>0</f>
        <v>0</v>
      </c>
      <c r="D168" s="3">
        <f>0</f>
        <v>0</v>
      </c>
      <c r="E168" s="3">
        <f>(101276824+0+0)</f>
        <v>101276824</v>
      </c>
      <c r="F168" s="3">
        <f>0</f>
        <v>0</v>
      </c>
      <c r="G168" s="3">
        <f>25032938</f>
        <v>25032938</v>
      </c>
      <c r="H168" s="3">
        <f>(0+25032938)</f>
        <v>25032938</v>
      </c>
      <c r="I168" s="3">
        <f>((101276824+0+0)-(0+25032938))</f>
        <v>76243886</v>
      </c>
    </row>
    <row r="169" spans="1:9" ht="14" x14ac:dyDescent="0.3">
      <c r="A169" s="2" t="s">
        <v>15</v>
      </c>
      <c r="B169" s="3">
        <f>15543981</f>
        <v>15543981</v>
      </c>
      <c r="C169" s="3">
        <f>0</f>
        <v>0</v>
      </c>
      <c r="D169" s="3">
        <f>0</f>
        <v>0</v>
      </c>
      <c r="E169" s="3">
        <f>(15543981+0+0)</f>
        <v>15543981</v>
      </c>
      <c r="F169" s="3">
        <f>0</f>
        <v>0</v>
      </c>
      <c r="G169" s="3">
        <f>4934134</f>
        <v>4934134</v>
      </c>
      <c r="H169" s="3">
        <f>(0+4934134)</f>
        <v>4934134</v>
      </c>
      <c r="I169" s="3">
        <f>((15543981+0+0)-(0+4934134))</f>
        <v>10609847</v>
      </c>
    </row>
    <row r="170" spans="1:9" ht="14" x14ac:dyDescent="0.3">
      <c r="A170" s="2" t="s">
        <v>16</v>
      </c>
      <c r="B170" s="3">
        <f>6810451</f>
        <v>6810451</v>
      </c>
      <c r="C170" s="3">
        <f>0</f>
        <v>0</v>
      </c>
      <c r="D170" s="3">
        <f>0</f>
        <v>0</v>
      </c>
      <c r="E170" s="3">
        <f>(6810451+0+0)</f>
        <v>6810451</v>
      </c>
      <c r="F170" s="3">
        <f>64001</f>
        <v>64001</v>
      </c>
      <c r="G170" s="3">
        <f>2147816</f>
        <v>2147816</v>
      </c>
      <c r="H170" s="3">
        <f>(64001+2147816)</f>
        <v>2211817</v>
      </c>
      <c r="I170" s="3">
        <f>((6810451+0+0)-(64001+2147816))</f>
        <v>4598634</v>
      </c>
    </row>
    <row r="171" spans="1:9" ht="14" x14ac:dyDescent="0.3">
      <c r="A171" s="2" t="s">
        <v>17</v>
      </c>
      <c r="B171" s="3">
        <f>0</f>
        <v>0</v>
      </c>
      <c r="C171" s="3">
        <f>0</f>
        <v>0</v>
      </c>
      <c r="D171" s="3">
        <f>0</f>
        <v>0</v>
      </c>
      <c r="E171" s="3">
        <f>(0+0+0)</f>
        <v>0</v>
      </c>
      <c r="F171" s="3">
        <f>0</f>
        <v>0</v>
      </c>
      <c r="G171" s="3">
        <f>0</f>
        <v>0</v>
      </c>
      <c r="H171" s="3">
        <f>(0+0)</f>
        <v>0</v>
      </c>
      <c r="I171" s="3">
        <f>((0+0+0)-(0+0))</f>
        <v>0</v>
      </c>
    </row>
    <row r="172" spans="1:9" ht="14" x14ac:dyDescent="0.3">
      <c r="A172" s="2" t="s">
        <v>18</v>
      </c>
      <c r="B172" s="3">
        <f>1010079</f>
        <v>1010079</v>
      </c>
      <c r="C172" s="3">
        <f>0</f>
        <v>0</v>
      </c>
      <c r="D172" s="3">
        <f>0</f>
        <v>0</v>
      </c>
      <c r="E172" s="3">
        <f>(1010079+0+0)</f>
        <v>1010079</v>
      </c>
      <c r="F172" s="3">
        <f>0</f>
        <v>0</v>
      </c>
      <c r="G172" s="3">
        <f>3980</f>
        <v>3980</v>
      </c>
      <c r="H172" s="3">
        <f>(0+3980)</f>
        <v>3980</v>
      </c>
      <c r="I172" s="3">
        <f>((1010079+0+0)-(0+3980))</f>
        <v>1006099</v>
      </c>
    </row>
    <row r="173" spans="1:9" ht="14" x14ac:dyDescent="0.3">
      <c r="A173" s="2" t="s">
        <v>19</v>
      </c>
      <c r="B173" s="3">
        <f>1031555</f>
        <v>1031555</v>
      </c>
      <c r="C173" s="3">
        <f>11109</f>
        <v>11109</v>
      </c>
      <c r="D173" s="3">
        <f>0</f>
        <v>0</v>
      </c>
      <c r="E173" s="3">
        <f>(1031555+11109+0)</f>
        <v>1042664</v>
      </c>
      <c r="F173" s="3">
        <f>0</f>
        <v>0</v>
      </c>
      <c r="G173" s="3">
        <f>758307</f>
        <v>758307</v>
      </c>
      <c r="H173" s="3">
        <f>(0+758307)</f>
        <v>758307</v>
      </c>
      <c r="I173" s="3">
        <f>((1031555+11109+0)-(0+758307))</f>
        <v>284357</v>
      </c>
    </row>
    <row r="174" spans="1:9" ht="14" x14ac:dyDescent="0.3">
      <c r="A174" s="2" t="s">
        <v>20</v>
      </c>
      <c r="B174" s="3">
        <f>877567</f>
        <v>877567</v>
      </c>
      <c r="C174" s="3">
        <f>0</f>
        <v>0</v>
      </c>
      <c r="D174" s="3">
        <f>0</f>
        <v>0</v>
      </c>
      <c r="E174" s="3">
        <f>(877567+0+0)</f>
        <v>877567</v>
      </c>
      <c r="F174" s="3">
        <f>0</f>
        <v>0</v>
      </c>
      <c r="G174" s="3">
        <f>674305</f>
        <v>674305</v>
      </c>
      <c r="H174" s="3">
        <f>(0+674305)</f>
        <v>674305</v>
      </c>
      <c r="I174" s="3">
        <f>((877567+0+0)-(0+674305))</f>
        <v>203262</v>
      </c>
    </row>
    <row r="175" spans="1:9" ht="14" x14ac:dyDescent="0.3">
      <c r="A175" s="2" t="s">
        <v>21</v>
      </c>
      <c r="B175" s="3">
        <f>2338458</f>
        <v>2338458</v>
      </c>
      <c r="C175" s="3">
        <f>0</f>
        <v>0</v>
      </c>
      <c r="D175" s="3">
        <f>0</f>
        <v>0</v>
      </c>
      <c r="E175" s="3">
        <f>(2338458+0+0)</f>
        <v>2338458</v>
      </c>
      <c r="F175" s="3">
        <f>0</f>
        <v>0</v>
      </c>
      <c r="G175" s="3">
        <f>40986</f>
        <v>40986</v>
      </c>
      <c r="H175" s="3">
        <f>(0+40986)</f>
        <v>40986</v>
      </c>
      <c r="I175" s="3">
        <f>((2338458+0+0)-(0+40986))</f>
        <v>2297472</v>
      </c>
    </row>
    <row r="176" spans="1:9" ht="14" x14ac:dyDescent="0.3">
      <c r="A176" s="2" t="s">
        <v>22</v>
      </c>
      <c r="B176" s="3">
        <f>3218000</f>
        <v>3218000</v>
      </c>
      <c r="C176" s="3">
        <f>0</f>
        <v>0</v>
      </c>
      <c r="D176" s="3">
        <f>0</f>
        <v>0</v>
      </c>
      <c r="E176" s="3">
        <f>(3218000+0+0)</f>
        <v>3218000</v>
      </c>
      <c r="F176" s="3">
        <f>0</f>
        <v>0</v>
      </c>
      <c r="G176" s="3">
        <f>1354580</f>
        <v>1354580</v>
      </c>
      <c r="H176" s="3">
        <f>(0+1354580)</f>
        <v>1354580</v>
      </c>
      <c r="I176" s="3">
        <f>((3218000+0+0)-(0+1354580))</f>
        <v>1863420</v>
      </c>
    </row>
    <row r="177" spans="1:9" ht="14" x14ac:dyDescent="0.3">
      <c r="A177" s="2" t="s">
        <v>23</v>
      </c>
      <c r="B177" s="3">
        <f>1981161</f>
        <v>1981161</v>
      </c>
      <c r="C177" s="3">
        <f>1</f>
        <v>1</v>
      </c>
      <c r="D177" s="3">
        <f>0</f>
        <v>0</v>
      </c>
      <c r="E177" s="3">
        <f>(1981161+1+0)</f>
        <v>1981162</v>
      </c>
      <c r="F177" s="3">
        <f>0</f>
        <v>0</v>
      </c>
      <c r="G177" s="3">
        <f>124485</f>
        <v>124485</v>
      </c>
      <c r="H177" s="3">
        <f>(0+124485)</f>
        <v>124485</v>
      </c>
      <c r="I177" s="3">
        <f>((1981161+1+0)-(0+124485))</f>
        <v>1856677</v>
      </c>
    </row>
    <row r="178" spans="1:9" ht="14" x14ac:dyDescent="0.3">
      <c r="A178" s="2" t="s">
        <v>24</v>
      </c>
      <c r="B178" s="3">
        <f>1699268</f>
        <v>1699268</v>
      </c>
      <c r="C178" s="3">
        <f>0</f>
        <v>0</v>
      </c>
      <c r="D178" s="3">
        <f>0</f>
        <v>0</v>
      </c>
      <c r="E178" s="3">
        <f>(1699268+0+0)</f>
        <v>1699268</v>
      </c>
      <c r="F178" s="3">
        <f>0</f>
        <v>0</v>
      </c>
      <c r="G178" s="3">
        <f>820440</f>
        <v>820440</v>
      </c>
      <c r="H178" s="3">
        <f>(0+820440)</f>
        <v>820440</v>
      </c>
      <c r="I178" s="3">
        <f>((1699268+0+0)-(0+820440))</f>
        <v>878828</v>
      </c>
    </row>
    <row r="179" spans="1:9" ht="14" x14ac:dyDescent="0.3">
      <c r="A179" s="2" t="s">
        <v>25</v>
      </c>
      <c r="B179" s="3">
        <f>32280582</f>
        <v>32280582</v>
      </c>
      <c r="C179" s="3">
        <f>0</f>
        <v>0</v>
      </c>
      <c r="D179" s="3">
        <f>0</f>
        <v>0</v>
      </c>
      <c r="E179" s="3">
        <f>(32280582+0+0)</f>
        <v>32280582</v>
      </c>
      <c r="F179" s="3">
        <f>0</f>
        <v>0</v>
      </c>
      <c r="G179" s="3">
        <f>57827</f>
        <v>57827</v>
      </c>
      <c r="H179" s="3">
        <f>(0+57827)</f>
        <v>57827</v>
      </c>
      <c r="I179" s="3">
        <f>((32280582+0+0)-(0+57827))</f>
        <v>32222755</v>
      </c>
    </row>
    <row r="180" spans="1:9" ht="14" x14ac:dyDescent="0.3">
      <c r="A180" s="2" t="s">
        <v>26</v>
      </c>
      <c r="B180" s="3">
        <f>2705390</f>
        <v>2705390</v>
      </c>
      <c r="C180" s="3">
        <f>0</f>
        <v>0</v>
      </c>
      <c r="D180" s="3">
        <f>0</f>
        <v>0</v>
      </c>
      <c r="E180" s="3">
        <f>(2705390+0+0)</f>
        <v>2705390</v>
      </c>
      <c r="F180" s="3">
        <f>0</f>
        <v>0</v>
      </c>
      <c r="G180" s="3">
        <f>123650</f>
        <v>123650</v>
      </c>
      <c r="H180" s="3">
        <f>(0+123650)</f>
        <v>123650</v>
      </c>
      <c r="I180" s="3">
        <f>((2705390+0+0)-(0+123650))</f>
        <v>2581740</v>
      </c>
    </row>
    <row r="181" spans="1:9" ht="14" x14ac:dyDescent="0.3">
      <c r="A181" s="5" t="s">
        <v>35</v>
      </c>
      <c r="B181" s="5"/>
      <c r="C181" s="5"/>
      <c r="D181" s="5"/>
      <c r="E181" s="5"/>
      <c r="F181" s="5"/>
      <c r="G181" s="5"/>
      <c r="H181" s="5"/>
      <c r="I181" s="5"/>
    </row>
    <row r="182" spans="1:9" ht="14" x14ac:dyDescent="0.3">
      <c r="A182" s="4" t="s">
        <v>1</v>
      </c>
      <c r="B182" s="1" t="s">
        <v>2</v>
      </c>
      <c r="C182" s="1" t="s">
        <v>3</v>
      </c>
      <c r="D182" s="1" t="s">
        <v>4</v>
      </c>
      <c r="E182" s="1" t="s">
        <v>5</v>
      </c>
      <c r="F182" s="1" t="s">
        <v>6</v>
      </c>
      <c r="G182" s="1" t="s">
        <v>7</v>
      </c>
      <c r="H182" s="1" t="s">
        <v>8</v>
      </c>
      <c r="I182" s="1" t="s">
        <v>9</v>
      </c>
    </row>
    <row r="183" spans="1:9" ht="14" x14ac:dyDescent="0.3">
      <c r="A183" s="4"/>
      <c r="B183" s="1">
        <v>2023</v>
      </c>
      <c r="C183" s="1">
        <v>2023</v>
      </c>
      <c r="D183" s="1">
        <v>2023</v>
      </c>
      <c r="E183" s="1">
        <v>2023</v>
      </c>
      <c r="F183" s="1">
        <v>2023</v>
      </c>
      <c r="G183" s="1">
        <v>2023</v>
      </c>
      <c r="H183" s="1">
        <v>2023</v>
      </c>
      <c r="I183" s="1">
        <v>2023</v>
      </c>
    </row>
    <row r="184" spans="1:9" ht="14" x14ac:dyDescent="0.3">
      <c r="A184" s="2" t="s">
        <v>10</v>
      </c>
      <c r="B184" s="3">
        <f>(-5895713)</f>
        <v>-5895713</v>
      </c>
      <c r="C184" s="3">
        <f>0</f>
        <v>0</v>
      </c>
      <c r="D184" s="3">
        <f>0</f>
        <v>0</v>
      </c>
      <c r="E184" s="3">
        <f>((-5895713)+0+0)</f>
        <v>-5895713</v>
      </c>
      <c r="F184" s="3">
        <f>0</f>
        <v>0</v>
      </c>
      <c r="G184" s="3">
        <f>(-1260296)</f>
        <v>-1260296</v>
      </c>
      <c r="H184" s="3">
        <f>(0+(-1260296))</f>
        <v>-1260296</v>
      </c>
      <c r="I184" s="3">
        <f>(((-5895713)+0+0)-(0+(-1260296)))</f>
        <v>-4635417</v>
      </c>
    </row>
    <row r="185" spans="1:9" ht="14" x14ac:dyDescent="0.3">
      <c r="A185" s="2" t="s">
        <v>11</v>
      </c>
      <c r="B185" s="3">
        <f>792985</f>
        <v>792985</v>
      </c>
      <c r="C185" s="3">
        <f>0</f>
        <v>0</v>
      </c>
      <c r="D185" s="3">
        <f>0</f>
        <v>0</v>
      </c>
      <c r="E185" s="3">
        <f>(792985+0+0)</f>
        <v>792985</v>
      </c>
      <c r="F185" s="3">
        <f>0</f>
        <v>0</v>
      </c>
      <c r="G185" s="3">
        <f>(-838)</f>
        <v>-838</v>
      </c>
      <c r="H185" s="3">
        <f>(0+(-838))</f>
        <v>-838</v>
      </c>
      <c r="I185" s="3">
        <f>((792985+0+0)-(0+(-838)))</f>
        <v>793823</v>
      </c>
    </row>
    <row r="186" spans="1:9" ht="14" x14ac:dyDescent="0.3">
      <c r="A186" s="2" t="s">
        <v>12</v>
      </c>
      <c r="B186" s="3">
        <f>332252</f>
        <v>332252</v>
      </c>
      <c r="C186" s="3">
        <f>0</f>
        <v>0</v>
      </c>
      <c r="D186" s="3">
        <f>0</f>
        <v>0</v>
      </c>
      <c r="E186" s="3">
        <f>(332252+0+0)</f>
        <v>332252</v>
      </c>
      <c r="F186" s="3">
        <f>0</f>
        <v>0</v>
      </c>
      <c r="G186" s="3">
        <f>(-358608)</f>
        <v>-358608</v>
      </c>
      <c r="H186" s="3">
        <f>(0+(-358608))</f>
        <v>-358608</v>
      </c>
      <c r="I186" s="3">
        <f>((332252+0+0)-(0+(-358608)))</f>
        <v>690860</v>
      </c>
    </row>
    <row r="187" spans="1:9" ht="14" x14ac:dyDescent="0.3">
      <c r="A187" s="2" t="s">
        <v>13</v>
      </c>
      <c r="B187" s="3">
        <f>446435</f>
        <v>446435</v>
      </c>
      <c r="C187" s="3">
        <f>0</f>
        <v>0</v>
      </c>
      <c r="D187" s="3">
        <f>0</f>
        <v>0</v>
      </c>
      <c r="E187" s="3">
        <f>(446435+0+0)</f>
        <v>446435</v>
      </c>
      <c r="F187" s="3">
        <f>0</f>
        <v>0</v>
      </c>
      <c r="G187" s="3">
        <f>2772</f>
        <v>2772</v>
      </c>
      <c r="H187" s="3">
        <f>(0+2772)</f>
        <v>2772</v>
      </c>
      <c r="I187" s="3">
        <f>((446435+0+0)-(0+2772))</f>
        <v>443663</v>
      </c>
    </row>
    <row r="188" spans="1:9" ht="14" x14ac:dyDescent="0.3">
      <c r="A188" s="2" t="s">
        <v>14</v>
      </c>
      <c r="B188" s="3">
        <f>(-1401)</f>
        <v>-1401</v>
      </c>
      <c r="C188" s="3">
        <f>0</f>
        <v>0</v>
      </c>
      <c r="D188" s="3">
        <f>0</f>
        <v>0</v>
      </c>
      <c r="E188" s="3">
        <f>((-1401)+0+0)</f>
        <v>-1401</v>
      </c>
      <c r="F188" s="3">
        <f>0</f>
        <v>0</v>
      </c>
      <c r="G188" s="3">
        <f>410</f>
        <v>410</v>
      </c>
      <c r="H188" s="3">
        <f>(0+410)</f>
        <v>410</v>
      </c>
      <c r="I188" s="3">
        <f>(((-1401)+0+0)-(0+410))</f>
        <v>-1811</v>
      </c>
    </row>
    <row r="189" spans="1:9" ht="14" x14ac:dyDescent="0.3">
      <c r="A189" s="2" t="s">
        <v>15</v>
      </c>
      <c r="B189" s="3">
        <f>597710</f>
        <v>597710</v>
      </c>
      <c r="C189" s="3">
        <f>0</f>
        <v>0</v>
      </c>
      <c r="D189" s="3">
        <f>0</f>
        <v>0</v>
      </c>
      <c r="E189" s="3">
        <f>(597710+0+0)</f>
        <v>597710</v>
      </c>
      <c r="F189" s="3">
        <f>15500</f>
        <v>15500</v>
      </c>
      <c r="G189" s="3">
        <f>304308</f>
        <v>304308</v>
      </c>
      <c r="H189" s="3">
        <f>(15500+304308)</f>
        <v>319808</v>
      </c>
      <c r="I189" s="3">
        <f>((597710+0+0)-(15500+304308))</f>
        <v>277902</v>
      </c>
    </row>
    <row r="190" spans="1:9" ht="14" x14ac:dyDescent="0.3">
      <c r="A190" s="2" t="s">
        <v>16</v>
      </c>
      <c r="B190" s="3">
        <f>2443</f>
        <v>2443</v>
      </c>
      <c r="C190" s="3">
        <f>0</f>
        <v>0</v>
      </c>
      <c r="D190" s="3">
        <f>0</f>
        <v>0</v>
      </c>
      <c r="E190" s="3">
        <f>(2443+0+0)</f>
        <v>2443</v>
      </c>
      <c r="F190" s="3">
        <f>2315</f>
        <v>2315</v>
      </c>
      <c r="G190" s="3">
        <f>(-780)</f>
        <v>-780</v>
      </c>
      <c r="H190" s="3">
        <f>(2315+(-780))</f>
        <v>1535</v>
      </c>
      <c r="I190" s="3">
        <f>((2443+0+0)-(2315+(-780)))</f>
        <v>908</v>
      </c>
    </row>
    <row r="191" spans="1:9" ht="14" x14ac:dyDescent="0.3">
      <c r="A191" s="2" t="s">
        <v>17</v>
      </c>
      <c r="B191" s="3">
        <f>1497</f>
        <v>1497</v>
      </c>
      <c r="C191" s="3">
        <f>0</f>
        <v>0</v>
      </c>
      <c r="D191" s="3">
        <f>0</f>
        <v>0</v>
      </c>
      <c r="E191" s="3">
        <f>(1497+0+0)</f>
        <v>1497</v>
      </c>
      <c r="F191" s="3">
        <f>0</f>
        <v>0</v>
      </c>
      <c r="G191" s="3">
        <f>0</f>
        <v>0</v>
      </c>
      <c r="H191" s="3">
        <f>(0+0)</f>
        <v>0</v>
      </c>
      <c r="I191" s="3">
        <f>((1497+0+0)-(0+0))</f>
        <v>1497</v>
      </c>
    </row>
    <row r="192" spans="1:9" ht="14" x14ac:dyDescent="0.3">
      <c r="A192" s="2" t="s">
        <v>18</v>
      </c>
      <c r="B192" s="3">
        <f>362</f>
        <v>362</v>
      </c>
      <c r="C192" s="3">
        <f>0</f>
        <v>0</v>
      </c>
      <c r="D192" s="3">
        <f>0</f>
        <v>0</v>
      </c>
      <c r="E192" s="3">
        <f>(362+0+0)</f>
        <v>362</v>
      </c>
      <c r="F192" s="3">
        <f>0</f>
        <v>0</v>
      </c>
      <c r="G192" s="3">
        <f>(-142)</f>
        <v>-142</v>
      </c>
      <c r="H192" s="3">
        <f>(0+(-142))</f>
        <v>-142</v>
      </c>
      <c r="I192" s="3">
        <f>((362+0+0)-(0+(-142)))</f>
        <v>504</v>
      </c>
    </row>
    <row r="193" spans="1:9" ht="14" x14ac:dyDescent="0.3">
      <c r="A193" s="2" t="s">
        <v>19</v>
      </c>
      <c r="B193" s="3">
        <f>29530</f>
        <v>29530</v>
      </c>
      <c r="C193" s="3">
        <f>0</f>
        <v>0</v>
      </c>
      <c r="D193" s="3">
        <f>0</f>
        <v>0</v>
      </c>
      <c r="E193" s="3">
        <f>(29530+0+0)</f>
        <v>29530</v>
      </c>
      <c r="F193" s="3">
        <f>0</f>
        <v>0</v>
      </c>
      <c r="G193" s="3">
        <f>16463</f>
        <v>16463</v>
      </c>
      <c r="H193" s="3">
        <f>(0+16463)</f>
        <v>16463</v>
      </c>
      <c r="I193" s="3">
        <f>((29530+0+0)-(0+16463))</f>
        <v>13067</v>
      </c>
    </row>
    <row r="194" spans="1:9" ht="14" x14ac:dyDescent="0.3">
      <c r="A194" s="2" t="s">
        <v>20</v>
      </c>
      <c r="B194" s="3">
        <f>96395</f>
        <v>96395</v>
      </c>
      <c r="C194" s="3">
        <f>8401</f>
        <v>8401</v>
      </c>
      <c r="D194" s="3">
        <f>(-962)</f>
        <v>-962</v>
      </c>
      <c r="E194" s="3">
        <f>(96395+8401+(-962))</f>
        <v>103834</v>
      </c>
      <c r="F194" s="3">
        <f>0</f>
        <v>0</v>
      </c>
      <c r="G194" s="3">
        <f>202498</f>
        <v>202498</v>
      </c>
      <c r="H194" s="3">
        <f>(0+202498)</f>
        <v>202498</v>
      </c>
      <c r="I194" s="3">
        <f>((96395+8401+(-962))-(0+202498))</f>
        <v>-98664</v>
      </c>
    </row>
    <row r="195" spans="1:9" ht="14" x14ac:dyDescent="0.3">
      <c r="A195" s="2" t="s">
        <v>21</v>
      </c>
      <c r="B195" s="3">
        <f>0</f>
        <v>0</v>
      </c>
      <c r="C195" s="3">
        <f>0</f>
        <v>0</v>
      </c>
      <c r="D195" s="3">
        <f>0</f>
        <v>0</v>
      </c>
      <c r="E195" s="3">
        <f>(0+0+0)</f>
        <v>0</v>
      </c>
      <c r="F195" s="3">
        <f>0</f>
        <v>0</v>
      </c>
      <c r="G195" s="3">
        <f>0</f>
        <v>0</v>
      </c>
      <c r="H195" s="3">
        <f>(0+0)</f>
        <v>0</v>
      </c>
      <c r="I195" s="3">
        <f>((0+0+0)-(0+0))</f>
        <v>0</v>
      </c>
    </row>
    <row r="196" spans="1:9" ht="14" x14ac:dyDescent="0.3">
      <c r="A196" s="2" t="s">
        <v>22</v>
      </c>
      <c r="B196" s="3">
        <f>853456</f>
        <v>853456</v>
      </c>
      <c r="C196" s="3">
        <f>0</f>
        <v>0</v>
      </c>
      <c r="D196" s="3">
        <f>0</f>
        <v>0</v>
      </c>
      <c r="E196" s="3">
        <f>(853456+0+0)</f>
        <v>853456</v>
      </c>
      <c r="F196" s="3">
        <f>73266</f>
        <v>73266</v>
      </c>
      <c r="G196" s="3">
        <f>124840</f>
        <v>124840</v>
      </c>
      <c r="H196" s="3">
        <f>(73266+124840)</f>
        <v>198106</v>
      </c>
      <c r="I196" s="3">
        <f>((853456+0+0)-(73266+124840))</f>
        <v>655350</v>
      </c>
    </row>
    <row r="197" spans="1:9" ht="14" x14ac:dyDescent="0.3">
      <c r="A197" s="2" t="s">
        <v>23</v>
      </c>
      <c r="B197" s="3">
        <f>2257258</f>
        <v>2257258</v>
      </c>
      <c r="C197" s="3">
        <f>(-13)</f>
        <v>-13</v>
      </c>
      <c r="D197" s="3">
        <f>0</f>
        <v>0</v>
      </c>
      <c r="E197" s="3">
        <f>(2257258+(-13)+0)</f>
        <v>2257245</v>
      </c>
      <c r="F197" s="3">
        <f>2089674</f>
        <v>2089674</v>
      </c>
      <c r="G197" s="3">
        <f>159781</f>
        <v>159781</v>
      </c>
      <c r="H197" s="3">
        <f>(2089674+159781)</f>
        <v>2249455</v>
      </c>
      <c r="I197" s="3">
        <f>((2257258+(-13)+0)-(2089674+159781))</f>
        <v>7790</v>
      </c>
    </row>
    <row r="198" spans="1:9" ht="14" x14ac:dyDescent="0.3">
      <c r="A198" s="2" t="s">
        <v>24</v>
      </c>
      <c r="B198" s="3">
        <f>(-8947)</f>
        <v>-8947</v>
      </c>
      <c r="C198" s="3">
        <f>0</f>
        <v>0</v>
      </c>
      <c r="D198" s="3">
        <f>0</f>
        <v>0</v>
      </c>
      <c r="E198" s="3">
        <f>((-8947)+0+0)</f>
        <v>-8947</v>
      </c>
      <c r="F198" s="3">
        <f>0</f>
        <v>0</v>
      </c>
      <c r="G198" s="3">
        <f>9095</f>
        <v>9095</v>
      </c>
      <c r="H198" s="3">
        <f>(0+9095)</f>
        <v>9095</v>
      </c>
      <c r="I198" s="3">
        <f>(((-8947)+0+0)-(0+9095))</f>
        <v>-18042</v>
      </c>
    </row>
    <row r="199" spans="1:9" ht="14" x14ac:dyDescent="0.3">
      <c r="A199" s="2" t="s">
        <v>25</v>
      </c>
      <c r="B199" s="3">
        <f>418023</f>
        <v>418023</v>
      </c>
      <c r="C199" s="3">
        <f>0</f>
        <v>0</v>
      </c>
      <c r="D199" s="3">
        <f>0</f>
        <v>0</v>
      </c>
      <c r="E199" s="3">
        <f>(418023+0+0)</f>
        <v>418023</v>
      </c>
      <c r="F199" s="3">
        <f>5440</f>
        <v>5440</v>
      </c>
      <c r="G199" s="3">
        <f>53835</f>
        <v>53835</v>
      </c>
      <c r="H199" s="3">
        <f>(5440+53835)</f>
        <v>59275</v>
      </c>
      <c r="I199" s="3">
        <f>((418023+0+0)-(5440+53835))</f>
        <v>358748</v>
      </c>
    </row>
    <row r="200" spans="1:9" ht="14" x14ac:dyDescent="0.3">
      <c r="A200" s="2" t="s">
        <v>26</v>
      </c>
      <c r="B200" s="3">
        <f>555615</f>
        <v>555615</v>
      </c>
      <c r="C200" s="3">
        <f>0</f>
        <v>0</v>
      </c>
      <c r="D200" s="3">
        <f>0</f>
        <v>0</v>
      </c>
      <c r="E200" s="3">
        <f>(555615+0+0)</f>
        <v>555615</v>
      </c>
      <c r="F200" s="3">
        <f>0</f>
        <v>0</v>
      </c>
      <c r="G200" s="3">
        <f>(-193)</f>
        <v>-193</v>
      </c>
      <c r="H200" s="3">
        <f>(0+(-193))</f>
        <v>-193</v>
      </c>
      <c r="I200" s="3">
        <f>((555615+0+0)-(0+(-193)))</f>
        <v>555808</v>
      </c>
    </row>
  </sheetData>
  <mergeCells count="20">
    <mergeCell ref="A121:I121"/>
    <mergeCell ref="A141:I141"/>
    <mergeCell ref="A161:I161"/>
    <mergeCell ref="A181:I181"/>
    <mergeCell ref="A122:A123"/>
    <mergeCell ref="A142:A143"/>
    <mergeCell ref="A162:A163"/>
    <mergeCell ref="A182:A183"/>
    <mergeCell ref="A1:I1"/>
    <mergeCell ref="A21:I21"/>
    <mergeCell ref="A41:I41"/>
    <mergeCell ref="A61:I61"/>
    <mergeCell ref="A81:I81"/>
    <mergeCell ref="A101:I101"/>
    <mergeCell ref="A2:A3"/>
    <mergeCell ref="A22:A23"/>
    <mergeCell ref="A42:A43"/>
    <mergeCell ref="A62:A63"/>
    <mergeCell ref="A82:A83"/>
    <mergeCell ref="A102:A10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البيانات الوصفية </vt:lpstr>
      <vt:lpstr>المتغيرات</vt:lpstr>
      <vt:lpstr>Insurance Financials Search Rep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Saud Ali Alfarsi</dc:creator>
  <cp:lastModifiedBy>Mohammed Saud Ali Alfarsi</cp:lastModifiedBy>
  <dcterms:created xsi:type="dcterms:W3CDTF">2025-05-28T06:44:45Z</dcterms:created>
  <dcterms:modified xsi:type="dcterms:W3CDTF">2025-05-28T06:44:48Z</dcterms:modified>
</cp:coreProperties>
</file>